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6485" windowHeight="11535" tabRatio="765"/>
  </bookViews>
  <sheets>
    <sheet name="06 02" sheetId="13" r:id="rId1"/>
    <sheet name="06 02 01" sheetId="17" r:id="rId2"/>
    <sheet name="06 02 02" sheetId="24" r:id="rId3"/>
    <sheet name="06 02 03" sheetId="25" r:id="rId4"/>
    <sheet name="06 02 04" sheetId="26" r:id="rId5"/>
    <sheet name="06 02 05" sheetId="27" r:id="rId6"/>
    <sheet name="06 02 06" sheetId="28" r:id="rId7"/>
    <sheet name="06 02 07" sheetId="29" r:id="rId8"/>
    <sheet name="06 02 09" sheetId="30" r:id="rId9"/>
    <sheet name="06 02 10" sheetId="32" r:id="rId10"/>
    <sheet name="06 02 11" sheetId="33" r:id="rId11"/>
  </sheets>
  <definedNames>
    <definedName name="_xlnm.Print_Area" localSheetId="0">'06 02'!$A$1:$J$18</definedName>
    <definedName name="_xlnm.Print_Area" localSheetId="1">'06 02 01'!$A$1:$J$41</definedName>
    <definedName name="_xlnm.Print_Area" localSheetId="2">'06 02 02'!$A$1:$J$59</definedName>
    <definedName name="_xlnm.Print_Area" localSheetId="3">'06 02 03'!$A$1:$J$24</definedName>
    <definedName name="_xlnm.Print_Area" localSheetId="4">'06 02 04'!$A$1:$J$24</definedName>
    <definedName name="_xlnm.Print_Area" localSheetId="5">'06 02 05'!$A$1:$J$39</definedName>
    <definedName name="_xlnm.Print_Area" localSheetId="6">'06 02 06'!$A$1:$J$31</definedName>
    <definedName name="_xlnm.Print_Area" localSheetId="7">'06 02 07'!$A$1:$J$33</definedName>
    <definedName name="_xlnm.Print_Area" localSheetId="8">'06 02 09'!$A$1:$J$22</definedName>
    <definedName name="_xlnm.Print_Area" localSheetId="9">'06 02 10'!$A$1:$J$26</definedName>
    <definedName name="_xlnm.Print_Area" localSheetId="10">'06 02 11'!$A$1:$J$26</definedName>
  </definedNames>
  <calcPr calcId="162913"/>
</workbook>
</file>

<file path=xl/calcChain.xml><?xml version="1.0" encoding="utf-8"?>
<calcChain xmlns="http://schemas.openxmlformats.org/spreadsheetml/2006/main">
  <c r="J20" i="27" l="1"/>
  <c r="L48" i="27"/>
  <c r="I25" i="28"/>
  <c r="I26" i="28"/>
  <c r="I24" i="28" s="1"/>
  <c r="I27" i="28"/>
  <c r="N26" i="28"/>
  <c r="I21" i="28"/>
  <c r="I21" i="27"/>
  <c r="F30" i="27"/>
  <c r="F29" i="27"/>
  <c r="I30" i="27"/>
  <c r="I31" i="27"/>
  <c r="H31" i="27" s="1"/>
  <c r="S27" i="27"/>
  <c r="R27" i="27"/>
  <c r="Q27" i="27"/>
  <c r="H27" i="27"/>
  <c r="S33" i="27"/>
  <c r="R33" i="27"/>
  <c r="Q33" i="27"/>
  <c r="H33" i="27"/>
  <c r="J24" i="27"/>
  <c r="S32" i="27"/>
  <c r="R32" i="27"/>
  <c r="Q32" i="27"/>
  <c r="H32" i="27"/>
  <c r="S31" i="27"/>
  <c r="Q31" i="27"/>
  <c r="J21" i="27"/>
  <c r="L24" i="28"/>
  <c r="L20" i="28"/>
  <c r="L18" i="28" s="1"/>
  <c r="O23" i="27"/>
  <c r="N23" i="27"/>
  <c r="N21" i="27"/>
  <c r="N20" i="27"/>
  <c r="N19" i="27"/>
  <c r="N18" i="27" s="1"/>
  <c r="O18" i="27"/>
  <c r="H26" i="28" l="1"/>
  <c r="O26" i="28"/>
  <c r="L28" i="28"/>
  <c r="R31" i="27"/>
  <c r="O35" i="27"/>
  <c r="N35" i="27"/>
  <c r="I21" i="33"/>
  <c r="M22" i="33"/>
  <c r="I22" i="32"/>
  <c r="L22" i="32"/>
  <c r="G14" i="25"/>
  <c r="H20" i="25"/>
  <c r="H21" i="25" s="1"/>
  <c r="H19" i="25"/>
  <c r="J21" i="25"/>
  <c r="I21" i="25"/>
  <c r="P19" i="25"/>
  <c r="O19" i="25"/>
  <c r="G19" i="25"/>
  <c r="O50" i="24" l="1"/>
  <c r="I50" i="24"/>
  <c r="F50" i="24"/>
  <c r="M35" i="24"/>
  <c r="M31" i="24"/>
  <c r="M25" i="24"/>
  <c r="M51" i="24" s="1"/>
  <c r="L35" i="24"/>
  <c r="L31" i="24"/>
  <c r="L25" i="32" l="1"/>
  <c r="O20" i="32" l="1"/>
  <c r="N20" i="32"/>
  <c r="H20" i="32"/>
  <c r="G20" i="32"/>
  <c r="H21" i="33" l="1"/>
  <c r="H20" i="33"/>
  <c r="I22" i="33"/>
  <c r="H21" i="32"/>
  <c r="H19" i="32"/>
  <c r="H22" i="32" s="1"/>
  <c r="I20" i="27"/>
  <c r="I35" i="17"/>
  <c r="H35" i="17"/>
  <c r="H34" i="17"/>
  <c r="H33" i="17"/>
  <c r="H32" i="17"/>
  <c r="H31" i="17"/>
  <c r="H30" i="17"/>
  <c r="H26" i="24"/>
  <c r="H27" i="24"/>
  <c r="H28" i="24"/>
  <c r="H29" i="24"/>
  <c r="H30" i="24"/>
  <c r="H31" i="24"/>
  <c r="H32" i="24"/>
  <c r="H33" i="24"/>
  <c r="H34" i="24"/>
  <c r="H35" i="24"/>
  <c r="H36" i="24"/>
  <c r="H37" i="24"/>
  <c r="H38" i="24"/>
  <c r="H39" i="24"/>
  <c r="H40" i="24"/>
  <c r="H41" i="24"/>
  <c r="H42" i="24"/>
  <c r="H43" i="24"/>
  <c r="H44" i="24"/>
  <c r="H45" i="24"/>
  <c r="H46" i="24"/>
  <c r="H47" i="24"/>
  <c r="H48" i="24"/>
  <c r="H49" i="24"/>
  <c r="H50" i="24"/>
  <c r="H25" i="24"/>
  <c r="I25" i="24"/>
  <c r="H19" i="26"/>
  <c r="H19" i="27"/>
  <c r="H20" i="27"/>
  <c r="H21" i="27"/>
  <c r="H22" i="27"/>
  <c r="H24" i="27"/>
  <c r="H25" i="27"/>
  <c r="H26" i="27"/>
  <c r="H28" i="27"/>
  <c r="H29" i="27"/>
  <c r="H30" i="27"/>
  <c r="H34" i="27"/>
  <c r="H19" i="28"/>
  <c r="H21" i="28"/>
  <c r="H22" i="28"/>
  <c r="H23" i="28"/>
  <c r="H25" i="28"/>
  <c r="H27" i="28"/>
  <c r="H24" i="28"/>
  <c r="H22" i="33" l="1"/>
  <c r="J6" i="32" l="1"/>
  <c r="I6" i="32"/>
  <c r="H6" i="32"/>
  <c r="J6" i="27"/>
  <c r="I6" i="27"/>
  <c r="H6" i="27"/>
  <c r="J6" i="26"/>
  <c r="I6" i="26"/>
  <c r="H6" i="26"/>
  <c r="J6" i="25"/>
  <c r="I6" i="25"/>
  <c r="H6" i="25"/>
  <c r="J6" i="17"/>
  <c r="I6" i="17"/>
  <c r="H6" i="17"/>
  <c r="I19" i="27" l="1"/>
  <c r="I20" i="28" l="1"/>
  <c r="K34" i="28"/>
  <c r="H20" i="28" l="1"/>
  <c r="I18" i="28"/>
  <c r="J23" i="27"/>
  <c r="I23" i="27"/>
  <c r="I20" i="26"/>
  <c r="I21" i="26" s="1"/>
  <c r="I51" i="24"/>
  <c r="H51" i="24" s="1"/>
  <c r="I35" i="24"/>
  <c r="I31" i="24"/>
  <c r="I30" i="17"/>
  <c r="I27" i="17"/>
  <c r="I23" i="17"/>
  <c r="I19" i="17"/>
  <c r="H18" i="28" l="1"/>
  <c r="I28" i="28"/>
  <c r="H23" i="27"/>
  <c r="J18" i="27"/>
  <c r="N37" i="27" l="1"/>
  <c r="L19" i="27" l="1"/>
  <c r="L20" i="27" l="1"/>
  <c r="H17" i="13" l="1"/>
  <c r="G17" i="13"/>
  <c r="F17" i="13"/>
  <c r="E17" i="13"/>
  <c r="G26" i="26"/>
  <c r="G19" i="24" l="1"/>
  <c r="G18" i="24"/>
  <c r="F35" i="24"/>
  <c r="G14" i="24"/>
  <c r="G91" i="24"/>
  <c r="F19" i="17"/>
  <c r="F23" i="17"/>
  <c r="F27" i="17"/>
  <c r="F30" i="17"/>
  <c r="G14" i="30" l="1"/>
  <c r="G14" i="27" l="1"/>
  <c r="N24" i="28" l="1"/>
  <c r="O24" i="28"/>
  <c r="O28" i="28" l="1"/>
  <c r="H38" i="28"/>
  <c r="L51" i="24" l="1"/>
  <c r="J35" i="24"/>
  <c r="G21" i="24" l="1"/>
  <c r="L18" i="24" s="1"/>
  <c r="G17" i="24" l="1"/>
  <c r="G15" i="24"/>
  <c r="O25" i="24"/>
  <c r="G15" i="33" l="1"/>
  <c r="O21" i="33"/>
  <c r="P21" i="33"/>
  <c r="O22" i="33"/>
  <c r="P22" i="33"/>
  <c r="P20" i="33"/>
  <c r="O20" i="33"/>
  <c r="J22" i="33"/>
  <c r="G20" i="33"/>
  <c r="I21" i="29"/>
  <c r="I30" i="29" s="1"/>
  <c r="J35" i="27" l="1"/>
  <c r="Q35" i="27"/>
  <c r="Q19" i="27"/>
  <c r="R19" i="27"/>
  <c r="S19" i="27"/>
  <c r="Q20" i="27"/>
  <c r="R20" i="27"/>
  <c r="S20" i="27"/>
  <c r="Q21" i="27"/>
  <c r="R21" i="27"/>
  <c r="S21" i="27"/>
  <c r="Q22" i="27"/>
  <c r="R22" i="27"/>
  <c r="S22" i="27"/>
  <c r="Q23" i="27"/>
  <c r="R23" i="27"/>
  <c r="Q24" i="27"/>
  <c r="R24" i="27"/>
  <c r="S24" i="27"/>
  <c r="Q25" i="27"/>
  <c r="R25" i="27"/>
  <c r="S25" i="27"/>
  <c r="Q26" i="27"/>
  <c r="R26" i="27"/>
  <c r="S26" i="27"/>
  <c r="Q28" i="27"/>
  <c r="R28" i="27"/>
  <c r="S28" i="27"/>
  <c r="Q29" i="27"/>
  <c r="R29" i="27"/>
  <c r="S29" i="27"/>
  <c r="Q30" i="27"/>
  <c r="R30" i="27"/>
  <c r="S30" i="27"/>
  <c r="Q34" i="27"/>
  <c r="R34" i="27"/>
  <c r="S34" i="27"/>
  <c r="S18" i="27"/>
  <c r="Q18" i="27"/>
  <c r="G25" i="27"/>
  <c r="G24" i="27"/>
  <c r="S23" i="27" l="1"/>
  <c r="O25" i="28" l="1"/>
  <c r="N25" i="28" l="1"/>
  <c r="H27" i="29" l="1"/>
  <c r="H26" i="29"/>
  <c r="H25" i="29"/>
  <c r="H24" i="29"/>
  <c r="H23" i="29"/>
  <c r="H22" i="29"/>
  <c r="H21" i="29"/>
  <c r="H28" i="29"/>
  <c r="H29" i="29"/>
  <c r="F31" i="24"/>
  <c r="H30" i="29" l="1"/>
  <c r="M21" i="29" l="1"/>
  <c r="M30" i="29" s="1"/>
  <c r="L21" i="29"/>
  <c r="P28" i="29"/>
  <c r="O28" i="29"/>
  <c r="G28" i="29"/>
  <c r="F21" i="29"/>
  <c r="P50" i="24" l="1"/>
  <c r="O26" i="24"/>
  <c r="P26" i="24"/>
  <c r="O27" i="24"/>
  <c r="P27" i="24"/>
  <c r="O28" i="24"/>
  <c r="P28" i="24"/>
  <c r="O29" i="24"/>
  <c r="P29" i="24"/>
  <c r="O30" i="24"/>
  <c r="P30" i="24"/>
  <c r="O31" i="24"/>
  <c r="P31" i="24"/>
  <c r="O32" i="24"/>
  <c r="P32" i="24"/>
  <c r="O33" i="24"/>
  <c r="P33" i="24"/>
  <c r="O34" i="24"/>
  <c r="P34" i="24"/>
  <c r="O36" i="24"/>
  <c r="P36" i="24"/>
  <c r="O37" i="24"/>
  <c r="P37" i="24"/>
  <c r="O38" i="24"/>
  <c r="P38" i="24"/>
  <c r="O39" i="24"/>
  <c r="P39" i="24"/>
  <c r="O40" i="24"/>
  <c r="P40" i="24"/>
  <c r="O41" i="24"/>
  <c r="P41" i="24"/>
  <c r="O42" i="24"/>
  <c r="P42" i="24"/>
  <c r="O43" i="24"/>
  <c r="P43" i="24"/>
  <c r="O44" i="24"/>
  <c r="P44" i="24"/>
  <c r="O45" i="24"/>
  <c r="P45" i="24"/>
  <c r="O46" i="24"/>
  <c r="P46" i="24"/>
  <c r="O47" i="24"/>
  <c r="P47" i="24"/>
  <c r="O48" i="24"/>
  <c r="P48" i="24"/>
  <c r="O49" i="24"/>
  <c r="P49" i="24"/>
  <c r="O34" i="17"/>
  <c r="O26" i="17"/>
  <c r="P19" i="17"/>
  <c r="O19" i="17"/>
  <c r="K35" i="17"/>
  <c r="M30" i="17"/>
  <c r="M27" i="17"/>
  <c r="M23" i="17"/>
  <c r="M19" i="17"/>
  <c r="L30" i="17"/>
  <c r="L27" i="17"/>
  <c r="L23" i="17"/>
  <c r="L19" i="17"/>
  <c r="M35" i="17" l="1"/>
  <c r="G21" i="32" l="1"/>
  <c r="G19" i="32"/>
  <c r="H18" i="30"/>
  <c r="G18" i="30" s="1"/>
  <c r="I19" i="30"/>
  <c r="S35" i="27"/>
  <c r="I18" i="27"/>
  <c r="H18" i="27" s="1"/>
  <c r="H19" i="30" l="1"/>
  <c r="I35" i="27"/>
  <c r="R18" i="27"/>
  <c r="G6" i="33"/>
  <c r="K35" i="27" l="1"/>
  <c r="I43" i="27"/>
  <c r="H35" i="27"/>
  <c r="R35" i="27"/>
  <c r="G21" i="33"/>
  <c r="M38" i="27"/>
  <c r="G20" i="24" l="1"/>
  <c r="G16" i="24"/>
  <c r="O35" i="24" l="1"/>
  <c r="P35" i="24"/>
  <c r="G43" i="24"/>
  <c r="G44" i="24"/>
  <c r="P25" i="24" l="1"/>
  <c r="P51" i="24"/>
  <c r="G30" i="27"/>
  <c r="P29" i="29" l="1"/>
  <c r="O29" i="29"/>
  <c r="G29" i="29"/>
  <c r="O19" i="28" l="1"/>
  <c r="O20" i="28"/>
  <c r="O21" i="28"/>
  <c r="O22" i="28"/>
  <c r="O23" i="28"/>
  <c r="O27" i="28"/>
  <c r="O18" i="28" l="1"/>
  <c r="G15" i="25" l="1"/>
  <c r="P20" i="25" l="1"/>
  <c r="O20" i="25"/>
  <c r="N28" i="28" l="1"/>
  <c r="G17" i="29" l="1"/>
  <c r="P25" i="29" l="1"/>
  <c r="O25" i="29"/>
  <c r="G25" i="29"/>
  <c r="R20" i="28" l="1"/>
  <c r="N19" i="28"/>
  <c r="N20" i="28"/>
  <c r="N21" i="28"/>
  <c r="N22" i="28"/>
  <c r="N23" i="28"/>
  <c r="N27" i="28"/>
  <c r="N18" i="28"/>
  <c r="K22" i="32" l="1"/>
  <c r="N21" i="32"/>
  <c r="O21" i="32"/>
  <c r="N19" i="32"/>
  <c r="P26" i="29"/>
  <c r="O26" i="29"/>
  <c r="G26" i="29"/>
  <c r="O22" i="29"/>
  <c r="P22" i="29"/>
  <c r="O23" i="29"/>
  <c r="P23" i="29"/>
  <c r="O24" i="29"/>
  <c r="P24" i="29"/>
  <c r="O27" i="29"/>
  <c r="P27" i="29"/>
  <c r="O30" i="29"/>
  <c r="O21" i="29"/>
  <c r="O20" i="17"/>
  <c r="P20" i="17"/>
  <c r="O21" i="17"/>
  <c r="P21" i="17"/>
  <c r="O22" i="17"/>
  <c r="P22" i="17"/>
  <c r="O24" i="17"/>
  <c r="P24" i="17"/>
  <c r="O25" i="17"/>
  <c r="P25" i="17"/>
  <c r="P26" i="17"/>
  <c r="O28" i="17"/>
  <c r="P28" i="17"/>
  <c r="O29" i="17"/>
  <c r="P29" i="17"/>
  <c r="O31" i="17"/>
  <c r="P31" i="17"/>
  <c r="O32" i="17"/>
  <c r="P32" i="17"/>
  <c r="O33" i="17"/>
  <c r="P33" i="17"/>
  <c r="N22" i="32" l="1"/>
  <c r="O19" i="32"/>
  <c r="O22" i="32" s="1"/>
  <c r="H29" i="17" l="1"/>
  <c r="H22" i="17"/>
  <c r="H20" i="17"/>
  <c r="H21" i="17"/>
  <c r="H24" i="17"/>
  <c r="H25" i="17"/>
  <c r="H28" i="17"/>
  <c r="P30" i="17"/>
  <c r="P27" i="17"/>
  <c r="P23" i="17"/>
  <c r="H23" i="17" l="1"/>
  <c r="H27" i="17"/>
  <c r="H19" i="17"/>
  <c r="G23" i="29"/>
  <c r="G27" i="29"/>
  <c r="G15" i="26"/>
  <c r="G14" i="26"/>
  <c r="G27" i="24"/>
  <c r="G28" i="24"/>
  <c r="G38" i="24"/>
  <c r="G40" i="24"/>
  <c r="G41" i="24"/>
  <c r="G42" i="24"/>
  <c r="G45" i="24"/>
  <c r="G46" i="24"/>
  <c r="G47" i="24"/>
  <c r="G48" i="24"/>
  <c r="G35" i="24" l="1"/>
  <c r="P21" i="29"/>
  <c r="G49" i="24" l="1"/>
  <c r="M39" i="27"/>
  <c r="Q14" i="27"/>
  <c r="R13" i="27" l="1"/>
  <c r="G21" i="17" l="1"/>
  <c r="G22" i="17"/>
  <c r="G20" i="17"/>
  <c r="P34" i="17" l="1"/>
  <c r="P35" i="17"/>
  <c r="G6" i="24"/>
  <c r="G50" i="24"/>
  <c r="G34" i="24"/>
  <c r="G6" i="32" l="1"/>
  <c r="J22" i="32"/>
  <c r="J30" i="29"/>
  <c r="P30" i="29"/>
  <c r="G22" i="29"/>
  <c r="G19" i="27"/>
  <c r="G26" i="27"/>
  <c r="J51" i="24"/>
  <c r="G39" i="24"/>
  <c r="G37" i="24"/>
  <c r="G33" i="24"/>
  <c r="G32" i="24"/>
  <c r="G30" i="24"/>
  <c r="G29" i="24"/>
  <c r="J35" i="17"/>
  <c r="G33" i="17"/>
  <c r="G32" i="17"/>
  <c r="G31" i="17"/>
  <c r="O30" i="17"/>
  <c r="G29" i="17"/>
  <c r="G28" i="17"/>
  <c r="O27" i="17"/>
  <c r="O23" i="17"/>
  <c r="L26" i="32"/>
  <c r="G22" i="28"/>
  <c r="G19" i="28"/>
  <c r="G20" i="28"/>
  <c r="G23" i="28"/>
  <c r="J28" i="28"/>
  <c r="H28" i="28" s="1"/>
  <c r="G19" i="26"/>
  <c r="H20" i="26"/>
  <c r="G20" i="26" s="1"/>
  <c r="J19" i="30"/>
  <c r="G6" i="30"/>
  <c r="J21" i="26"/>
  <c r="G26" i="24" l="1"/>
  <c r="G25" i="24"/>
  <c r="H21" i="26"/>
  <c r="G6" i="26" s="1"/>
  <c r="G6" i="25"/>
  <c r="G22" i="27"/>
  <c r="G6" i="29"/>
  <c r="G30" i="17"/>
  <c r="G20" i="27"/>
  <c r="G31" i="24"/>
  <c r="G27" i="17"/>
  <c r="G34" i="17"/>
  <c r="G20" i="25"/>
  <c r="G6" i="27" l="1"/>
  <c r="G6" i="28"/>
  <c r="H6" i="28" s="1"/>
  <c r="G6" i="17"/>
  <c r="G36" i="24"/>
  <c r="I6" i="28" l="1"/>
  <c r="H6" i="13"/>
  <c r="G6" i="13"/>
  <c r="L6" i="13" s="1"/>
  <c r="J6" i="28" l="1"/>
  <c r="J6" i="13" s="1"/>
  <c r="I6" i="13"/>
</calcChain>
</file>

<file path=xl/sharedStrings.xml><?xml version="1.0" encoding="utf-8"?>
<sst xmlns="http://schemas.openxmlformats.org/spreadsheetml/2006/main" count="705" uniqueCount="261">
  <si>
    <t xml:space="preserve">ქვეპროგრამის დასახელება </t>
  </si>
  <si>
    <t xml:space="preserve">პროგრამის დასახელება </t>
  </si>
  <si>
    <t>პროგრამის კლასიფიკაციის კოდი:</t>
  </si>
  <si>
    <t>პრიორიტეტის დასახელება, რომლის ფარგლებშიც ხორციელდება პროგრამა</t>
  </si>
  <si>
    <t>პროგრამის განმახორციელებელი:</t>
  </si>
  <si>
    <t>პროგრამის ბიუჯეტი</t>
  </si>
  <si>
    <t>პროგრამის მიზანი</t>
  </si>
  <si>
    <t>პროგრამის აღწერა</t>
  </si>
  <si>
    <t>პროგრამის მოსალოდნელი საბოლოო  შედეგი</t>
  </si>
  <si>
    <t>№</t>
  </si>
  <si>
    <t>საბოლოო შედეგის შეფასების ინდიკატორი</t>
  </si>
  <si>
    <t>ინდიკატორის მაჩვენებლები</t>
  </si>
  <si>
    <t>ქვეპროგრამის კლასიფიკაციის კოდი:</t>
  </si>
  <si>
    <t>პროგრამის დასახელება, რომლის ფარგლებშიც ხორციელდება ქვეპროგრამა</t>
  </si>
  <si>
    <t>ქვეპროგრამის ბიუჯეტი</t>
  </si>
  <si>
    <t>ქვეპროგრამის განმახორციელებელი:</t>
  </si>
  <si>
    <t>ქვეპროგრამის მიზანი</t>
  </si>
  <si>
    <t>ქვეპროგრამის აღწერა</t>
  </si>
  <si>
    <t>ქვეპროგრამის მოსალოდნელი შუალედური შედეგი</t>
  </si>
  <si>
    <t>მოსალოდნელი შუალედური შედეგის შეფასების ინდიკატორი</t>
  </si>
  <si>
    <t>ქვეპროგრამის ფორმა</t>
  </si>
  <si>
    <t>ღონისძიების დასახელება</t>
  </si>
  <si>
    <t>პროდუქტები</t>
  </si>
  <si>
    <t>განზომილება</t>
  </si>
  <si>
    <t>რაოდენობა</t>
  </si>
  <si>
    <t>სულ (ლარი)</t>
  </si>
  <si>
    <t>მათ შორის:</t>
  </si>
  <si>
    <t>საბიუჯეტო
სახსრები</t>
  </si>
  <si>
    <t>საკუთარი
სახსრები</t>
  </si>
  <si>
    <t>ერთეულის საშუალო ფასი</t>
  </si>
  <si>
    <t xml:space="preserve">სულ ქვეპროგრამა  </t>
  </si>
  <si>
    <t>დამატებითი ინფორმაცია</t>
  </si>
  <si>
    <t>პროგრამის ფორმა</t>
  </si>
  <si>
    <t>ცდომილების ალბათობა (%/შესაძლო რისკები - აღწერა)</t>
  </si>
  <si>
    <t>06 02 01</t>
  </si>
  <si>
    <t>სოციალური უზრუნველყოფა</t>
  </si>
  <si>
    <t xml:space="preserve">კომუნალური მომსახურების საფასურის სუბსიდირება </t>
  </si>
  <si>
    <t>ქ. ბათუმის მუნციპალიტეტის მერია,  ჯანმრთელობისა და სოციალური დაცვის სამსახური</t>
  </si>
  <si>
    <t>მოწყვლადი ჯგუფების ძირითადი კომუნალური მომსახურებით უზრუნველყოფა</t>
  </si>
  <si>
    <t>მოწყვლადი ჯგუფები უზრუნველყოფილნი არიან ძირითადი კომუნალური სერვისებით</t>
  </si>
  <si>
    <t>სოციალური სერვისების მიმღებ ბენეფიციართა რაოდენობა</t>
  </si>
  <si>
    <t>წყლისა და კანალიზაციის გადასახადის დაფარვა</t>
  </si>
  <si>
    <t>მკვეთრად გამოხატული შშმ პირი და შშმ სტატუსის  ბავშვი</t>
  </si>
  <si>
    <t>0-70000 ქულის მქონე სოციალურად დაუცველი, მრავალშვილიანი ოჯახები (5 და მეტი შვილი), მარტოხელა მშობლები და მათი შვილები</t>
  </si>
  <si>
    <t>სატელეფონო-სააბონენტო გადასახადის დაფარვა</t>
  </si>
  <si>
    <t>ვეტერანები, მათთან გათანაბრებული პირები, ომში დაღუპულთა ოჯახის წევრები და მარჩენალდაკარგულები</t>
  </si>
  <si>
    <t>0-70000 ქულის მქონე სოციალურად დაუცველი პირები</t>
  </si>
  <si>
    <t>ვეტერანების, მათთან გათანაბრებული პირების, ომში დაღუპულთა ოჯახის წევრების და მარჩენალდაკარგულების თხევადი აირის ტალონით დახმარება</t>
  </si>
  <si>
    <t>ბენეფიციარი</t>
  </si>
  <si>
    <t>06 02 02</t>
  </si>
  <si>
    <t>მოწყვლადი სოციალური კატეგორიების მატერიალური დახმარებით უზრუნველყოფა</t>
  </si>
  <si>
    <t>მოწყვლადი სოციალური კატეგორიებისათვის მატერიალური მხარდაჭერა</t>
  </si>
  <si>
    <t xml:space="preserve">9 მაისი - II მსოფლიო ომის მონაწილეები და II მსოფლიო ომში დაღუპულთა ოჯახის წევრები </t>
  </si>
  <si>
    <t xml:space="preserve">გარდაცვლილი ვეტერანი (ომის მონაწილე) </t>
  </si>
  <si>
    <t>უდედმამო ბავშვების ყოველთვიური დახმარება 300 ლარის ოდენობით</t>
  </si>
  <si>
    <t>06 02 03</t>
  </si>
  <si>
    <t>მუნიციპალური ტრანსპორტით მგზავრობის საფასურის სუბსიდირება</t>
  </si>
  <si>
    <t>საზოგადოების განსაზღვრული კატეგორიებისათვის მუნიციპალურ სატრანსპორტო მომსახურებაზე ხელმისაწვდომობის გაზრდა</t>
  </si>
  <si>
    <t>საზოგადოების განსაზღვრული კატეგორიებისათვის უზრუნველყოფილია ხელმისაწვდომი მუნიციპალური სატრანსპორტო მომსახურება</t>
  </si>
  <si>
    <t>ბენეფიციართა რაოდენობა, რომელიც სარგებლობს მუნიციპალური ტრანსპორტის საფასურის 100 %-იანი შეღავათით (უფასო მგზავრობით)</t>
  </si>
  <si>
    <t>06 02 04</t>
  </si>
  <si>
    <t xml:space="preserve">ბინაზე მოვლის საჭიროების მქონე პირთა დახმარება </t>
  </si>
  <si>
    <t>მუნიციპალური უფასო სასადილო</t>
  </si>
  <si>
    <t>06 02 06</t>
  </si>
  <si>
    <t>ა(ა)იპ - ბათუმის სოციალური სერვისების სააგენტო</t>
  </si>
  <si>
    <t>სოციალურად დაუცველი მოსახლეობის უფასო საკვებით უზრუნველყოფა</t>
  </si>
  <si>
    <t>ყოველდღიურად უფასო კვების სერვისით მოსარგებლე ბენეფიციართა რაოდენობა</t>
  </si>
  <si>
    <t>ადმინისტრირება და მართვა</t>
  </si>
  <si>
    <t>შრომის ანაზღაურება</t>
  </si>
  <si>
    <t xml:space="preserve">შრომითი ხელშეკრულებით დასაქმებულ პირთა ანაზღაურება </t>
  </si>
  <si>
    <t>საქონელი და მომსახურება, სხვა დანარჩენი ხარჯები</t>
  </si>
  <si>
    <t>საკვები პროდუქტების შეძენა (ბენეფიციართა რაოდენობა)</t>
  </si>
  <si>
    <t>პირი</t>
  </si>
  <si>
    <t>06 02 07</t>
  </si>
  <si>
    <t>სამედიცინო მომსახურება</t>
  </si>
  <si>
    <t>საკვები პროდუქტების შესყიდვა</t>
  </si>
  <si>
    <t xml:space="preserve">საზოგადოებრივი ორგანიზაციების მხარდაჭერა </t>
  </si>
  <si>
    <t>საზოგადოებრივი ორგანიზაციების რაოდენობა, რომელთა ფინანსური დახმარება განხორციელდა</t>
  </si>
  <si>
    <t>საქართველოს წითელი ჯვრის საზოგადოებისა და ბათუმის ხანდაზმულთა დღის სოციალური ცენტრისათვის დახმარების გაწევა</t>
  </si>
  <si>
    <t>ავღანეთის ვეტერანთა საქართველოს კავშირის აჭარის რეგიონალურ ორგანიზაციაზე დახმარების გაწევა</t>
  </si>
  <si>
    <t>ორგანიზაცია</t>
  </si>
  <si>
    <t>06 02 10</t>
  </si>
  <si>
    <t>მოწყვლადი სოციალური კატეგორიებისათვის მინიმალური სოციალური პირობების შექმნა</t>
  </si>
  <si>
    <t>შეზღუდული შესაძლებლობების მქონე პირების ასისტენტით მომსახურება</t>
  </si>
  <si>
    <t>შეზღუდული შესაძლებლობების მქონე პირთა საზოგადოებაში ინტეგრაციის ხელშეწყობა</t>
  </si>
  <si>
    <t>ქვეპროგრამით მოსარგებლე ბენეფიციართა რაოდენობა</t>
  </si>
  <si>
    <t>ჯანმრთელობის დაცვა და  სოციალური უზრუნველყოფა</t>
  </si>
  <si>
    <t>ქ. ბათუმის მუნიციპალიტეტის მერიის ჯანმრთელობისა და სოციალური დაცვის სამსახური</t>
  </si>
  <si>
    <t>06 02</t>
  </si>
  <si>
    <t>საზოგადოების ცალკეული კატეგორიების სოციალური პირობების გაუმჯობესება და მუნიციპალურ და კომუნალურ სერვისებზე ხელმისაწვდომობის გაზრდა</t>
  </si>
  <si>
    <t>შვილის შეძენასთან დაკავშირებით სოციალურად დაუცველი ოჯახებისათვის მატერიალური დახმარების გაწევა (800 ლარი)</t>
  </si>
  <si>
    <t>სოციალური შეღავათების სერვისების რაოდენობა</t>
  </si>
  <si>
    <t>სოციალური უზრუნველყოფის პროგრამაში ჩართული მოსახლეობის პროცენტული მაჩვენებელი</t>
  </si>
  <si>
    <t>მზრუნველობამოკლებულ და მოვლის საჭიროების მქონე პირთა სოციალური პირობების გაუმჯობესება</t>
  </si>
  <si>
    <t>2025 წლის დაფინანსება
(ლარი)</t>
  </si>
  <si>
    <t>მიზნობრივი
2025 წელი</t>
  </si>
  <si>
    <t>ხუთი და მეტშვილიანი ოჯახების ყოველთვიური დახმარება 150 ლარის ოდენობით</t>
  </si>
  <si>
    <t>საშუალო რაოდენობა</t>
  </si>
  <si>
    <t>ქ. ბათუმის მუნციპალიტეტის მერია, ჯანმრთელობისა და სოციალური დაცვის სამსახური</t>
  </si>
  <si>
    <t>ოჯახი</t>
  </si>
  <si>
    <t>2. სატელეფონო-სააბონენტო გადასახადის გადახდაზე შეღავათის მისაღებად წარმოსადგენი საჭირო დოკუმენტაცია: განცხადება, პირადობის დამადასტურებელი მოწმობა, ცნობა სოციალური მომსახურეობის სააგენტოდან მკვეთრად გამოხატული შშმ პირის, შშმ სტატუსის ბავშვის შესახებ ან ვეტერანის მოწმობა და ცნობა სატელეფონო კომპანიიდან აღნიშნული ბენეფიციარის აბონენტად რეგისტრაციის შესახებ. შშმ სტატუსის ბავშვის შემთხვევაში ერთ-ერთი მშობლის პირადობის მოწმობა, შშმ სტატუსის ბავშვის დაბადების მოწმობა  და მშობლის სახელზე გაფორმებული აბონენტის რეგისტრაციის ცნობა.</t>
  </si>
  <si>
    <t>მატერიალურ-ტექნიკური ბაზის განახლება</t>
  </si>
  <si>
    <t>2026 წლის დაფინანსება
(ლარი)</t>
  </si>
  <si>
    <t>მიზნობრივი
2026 წელი</t>
  </si>
  <si>
    <t>დამოუკიდებელი ცხოვრების  ცენტრის დაფინანსება</t>
  </si>
  <si>
    <t>სათემო სახლი</t>
  </si>
  <si>
    <t>ეტლით მოსარგებლე შშმ სტატუსის მქონე სტუდენტების სატრანსპორტო ხარჯების სუბსიდირება</t>
  </si>
  <si>
    <t>მატერიალურ ტექნიკური ბაზის განახლება</t>
  </si>
  <si>
    <t>კომპიუტერი</t>
  </si>
  <si>
    <t>20% - მომართვიანობის ვარირება</t>
  </si>
  <si>
    <t>15% - მომართვიანობის ვარირება</t>
  </si>
  <si>
    <t>5% - მომართვიანობის ვარირება</t>
  </si>
  <si>
    <t>მარტოხელა მშობლების (პირი, რომელსაც ჰყავს 18 წლამდე ასაკის შვილი და ბავშვის დაბადების აქტის ჩანაწერში არ არის შეტანილი ჩანაწერი ბავშვის მეორე მშობლის შესახებ) ყოველთვიური დახმარება 120 ლარის ოდენობით</t>
  </si>
  <si>
    <t xml:space="preserve">მოწყვლადი სოციალური კატეგორიები უზრუნველყოფილნი არიან მატერიალური დახმარებით </t>
  </si>
  <si>
    <t>მოხუცებულთა სავანეში სერვისის მიმღებ ბენეფიციართა რაოდენობა</t>
  </si>
  <si>
    <t>ბენეფიციართა რაოდენობა</t>
  </si>
  <si>
    <t xml:space="preserve">მოწყვლადი სოციალური კატეგორიებისათვის გაუმჯობესებულია სოციალური პირობები </t>
  </si>
  <si>
    <t>3% - მომართვიანობის ცვლილება</t>
  </si>
  <si>
    <t>5% - მომართვიანობის ცვლილება</t>
  </si>
  <si>
    <t>10% - მომართვიანობის ცვლილება</t>
  </si>
  <si>
    <t xml:space="preserve">სსიპ ქ. ბათუმის #13 და #17 საჯარო სკოლების სპეციალური საგანმანათლებლო საჭიროების მქონე მოსწავლეებისათვის ტრანსპორტით უზრუნველყოფის სუბსიდირება </t>
  </si>
  <si>
    <t>მარტოხელა მშობლების (პირი, რომლის არასრულწლოვანი შვილის მეორე მშობელი გარდაცვლილია, გამოცხადებულია გარდაცვლილად ან აღიარებულია უგზო-უკვლოდ დაკარგულად) ყოველთვიური დახმარება 60 ლარის ოდენობით</t>
  </si>
  <si>
    <t>30% - მომართვიანობის ცვლილება</t>
  </si>
  <si>
    <t>მზრუნველობას მოკლებულ ბენეფიციართა მოვლა-პატრონობა და მოვლის საჭიროების მქონე პირთა დახმარება</t>
  </si>
  <si>
    <t>06 02 05</t>
  </si>
  <si>
    <t>06 02 09</t>
  </si>
  <si>
    <t>ა(ა)აიპ იალქანის მხარდაჭერის ღონისძიება</t>
  </si>
  <si>
    <t>2027 წლის დაფინანსება
(ლარი)</t>
  </si>
  <si>
    <t>მიზნობრივი
2027 წელი</t>
  </si>
  <si>
    <t>0-70000 ქულის მქონე სოციალურად დაუცველი, მრავალშვილიანი ოჯახები (5 და მეტი შვილი), მარტოხელა დედები და მათი შვილები</t>
  </si>
  <si>
    <t>ვეტერანების რაოდენობა, რომელზეც სადღესასწაულო დღეებში გაიცემა მატერიალური დახმარება</t>
  </si>
  <si>
    <t>5% - მომართვიანობის ცვლილება, ინფორმირებულობის დაბალი დონე</t>
  </si>
  <si>
    <t>10% - მომართვიანობის ცვლილება, ინფორმირებულობის დაბალი დონე</t>
  </si>
  <si>
    <t>ვიზიტი (სთ)</t>
  </si>
  <si>
    <t xml:space="preserve">1) გაზრდილია მუნიციპალურ და კომუნალურ სერვისებზე ხელმისაწვდომობა;
3) გაუმჯობესებულია საზოგადების ცალკეული კატეგორიების სოციალური პირობები; 
3) შემცირებულია მოსახლეობის სიღარიბით, ხანდაზმულობით და შეზღუდული შესაძლებლობებით გამოწვეული სოციალური რისკები. </t>
  </si>
  <si>
    <t xml:space="preserve">შშმ პირებისათვის (20 პირი) პერსონალური ასისტენტების მიერ სერვისის მიწოდება </t>
  </si>
  <si>
    <t>მკვეთრად შეზღუდული სტატუსის მქონე უსინათლო პირების გამცილებლით მომსახურება</t>
  </si>
  <si>
    <t xml:space="preserve">გაზიფიცირების - ბუნებრივი აირის მილგაყვანილობისა და მრიცხველის სამონტაჟო სამუშაოების ღირებულების  90%-ის თანადაფინანსება გაზქურამდე ერთი წერტილის გათვალისწინებით </t>
  </si>
  <si>
    <t>1. წყლის, კანალიზაციისა და სანდასუფთავების გადასახადზე შეღავათების გავრცელება განხორციელდება ყოველთვიურად ს(ს)იპ საქართველოს სოციალური მომსახურეობის სააგენტოს მიერ მოწოდებული ქ. ბათუმში რეგისტრირებული მკვეთრად გამოხატული შშმ პირების და შშმ სტატუსის ბავშვების, ქ. ბათუმში რეგისტრირებულ 0-70000 ქულის მქონე სოციალურად დაუცველი ოჯახების სიების, ქ. ბათუმის მუნიციპალიტეტის მერიის ჯანმრთელობისა და სოციალური დაცვის სამსახურში აღრიცხვაზე მყოფი მარტოხელა მშობლების (მარტოხელა დედა / მარტოხელა მამა) და მათი შვილების, მრავალშვილიანი (5 და მეტი შვილი) ოჯახების სიების და ვეტერანების საქმეთა სახელმწიფო სამსახურის მიერ მოწოდებული ვეტერანების, მათთან გათანაბრებული პირების, ომში დაღუპულთა ოჯახის წევრების და მარჩენალდაკარგულების სიების საფუძველზე. ღონისძიებებში მითითებული ბენეფიციართა რაოდენობა წარმოადგენს წლის განმავლობაში ქვეპროგრამით მოსარგებლე ბენეფიციართა საშუალო საორიენტაციო რაოდენობას, რომელიც ყოველთვიურად შეიძლება შეიცვალოს/დაზუსტდეს სოციალური მომსახურების სააგენტოს და საქართველოს ვეტერანთა სამსახურის მიერ მოწოდებული ინფორმაციის საფუძველზე ბენეფიციართა ფაქტიური რაოდენობის მიხედვით. აქედან გამომდინარე, მოსარგებლე ბენეფიცირთა წყლისა და კანალიზაციის საფასურის და დასუფთავებისათვის მოსაკრებლის დაფარვა ყოველთვიურად მოხდება იდენტიფიცირებულ ბენეფიციართა ფაქტიური რაოდენობის მიხედვით და ერთეულის ფასის გათვალისწინებით პროგრამული ბიუჯეტის ცვლილების გარეშე. იმ შემთხვევაში თუ ბენეფიციარის წყლის აღრიცხვიანობა ხორციელდება მრიცხველის საშუალებით, მას დაეფარება 5,15 კბ.მ გახარჯული წყლის საფასური, რომელიც შეადგენს 2,6255 ლარს, მითითებულ რაოდენობაზე მეტი ხარჯი დაიფარება ბენეფიციარის მიერ.</t>
  </si>
  <si>
    <t>ეტლით მოსარგებლე შშმპ სტატუსის მქონე სტუდენტებს სატრანსპორტო ხარჯების სუბსიდირება.</t>
  </si>
  <si>
    <t>გავასწორე ჩამონათვალი</t>
  </si>
  <si>
    <t>გარდაცვლილი ვეტერანის (ომის მონაწილე) და სოციალურად დაუცველთა ოჯახის წევრის რაოდენობა, რომელზეც გაიცემა მატერიალური დახმარება</t>
  </si>
  <si>
    <t>აღწერაში საუბარი არ გვაქ ძალადობის მსხვერპლს პირებზე?</t>
  </si>
  <si>
    <t>50% - მომართვიანობის ცვლილება, ინფორმირებულობის დაბალი დონე</t>
  </si>
  <si>
    <t>სოციალურად დაუცველი ოჯახების (0-100000 ქულის მქონე) ყოველ ერთ წლამდე ასაკის ბავშვზე ყოველთვიური მატერიალური დახმარების გაწევა 90 ლარის ოდენობით</t>
  </si>
  <si>
    <t xml:space="preserve">რეინტეგრირებული ოჯახებისათვის (საჭიროებიდან გამომდინარე) ბინის ქირით ყოველთვიურად უზრუნველყოფა 400 ლარის ოდენობით  </t>
  </si>
  <si>
    <t>სოციალურად დაუცველი ოჯახების (0-100000 ქულის მქონე) ყოველი ერთი წლიდან ორ წლამდე ასაკის ბავშვზე ყოველთვიური მატერიალური დახმარების გაწევა 50 ლარის ოდენობით</t>
  </si>
  <si>
    <t xml:space="preserve">0-30001-მდე ქ. ბათუმის სარეიტინგო ქულების  მქონე ოჯახების კომუნალური გადასახადების სუბსიდირება 30 ლარის ოდენობით (იანვარი-მარტი, ნოემბერი-დეკემბერი) </t>
  </si>
  <si>
    <t xml:space="preserve">მზრუნველობამოკლებულ და მოვლის საჭიროების მქონე პირთათვის გაუმჯობესებულია სოციალური პირობები </t>
  </si>
  <si>
    <t xml:space="preserve">ბათუმის განათლების განვითარებისა და დასაქმების ცენტრის მხარდაჭერის ღონისძიება </t>
  </si>
  <si>
    <t>ა(ა)იპ - აჭარის ავტონომიური რესპუბლიკის ომის, შრომის და სამხედრო ძალების ვეტერანთა გაერთიანება „ომგადახდილის„ ქალაქ ბათუმის ორგანიზაციაზე დახმარების გაწევა</t>
  </si>
  <si>
    <t>შშმ პირთა საოჯახო ტიპის დამოუკიდებელი ცხოვრების ხელშემწყობი მომსახურებით უზრუნველყოფის კომპონენტის სუბსიდირება
(5 პირისათვის)</t>
  </si>
  <si>
    <t>მოწყვლადი სოციალური კატეგორიებისათვის, უპირატესად, სოციალურად დაუცველი ოჯახებისათვის სოციალური პირობების გაუმჯობესება და მინიმალური საცხოვრებელი პირობების შექმნა</t>
  </si>
  <si>
    <t>3% - საბიუჯეტო სახსრები</t>
  </si>
  <si>
    <t>მატერიალური დახმარების მიმღებ ბენეფიციართა რაოდენობა</t>
  </si>
  <si>
    <t xml:space="preserve">დასუფთავებისთვის მოსაკრებლის საფასურის დაფარვა </t>
  </si>
  <si>
    <t>სოციალურად დაუცველი მრავალშვილიანი ოჯახების, ბათუმში რეგისტრირებული ძალადობის მსხვერპლი ბენეფიციარების, უდედმამო ბავშვებისა და მარტოხელა მშობლების ყოველთვიური მატერიალური დახმარება</t>
  </si>
  <si>
    <t>0-30001-მდე ქ. ბათუმის სარეიტინგო ქულების მქონე ოჯახების კომუნალური გადასახადების სუბსიდირება (თვიურად 30 ლარი (იანვარი-მარტი, ნოემბერ-დეკემბერი))</t>
  </si>
  <si>
    <t>ვეტერანთა (ომის მონაწილე) და სოციალურად დაუცველ პირთა გარდაცვალების შემდეგ მათ ოჯახებზე ერთჯერადი მატერიალური დახმარების გაწევა 500 ლარის ოდენობით</t>
  </si>
  <si>
    <t>ბინაზე მოვლის საჭიროების მქონე პირთა რაოდენობა</t>
  </si>
  <si>
    <t>მოხუცებულთა სავანეში სერვისის მიმღებ პირთა დახმარება</t>
  </si>
  <si>
    <t>12.5 % - ხელშეკრულებით გათვალისწინებული პირობების დარღვევა</t>
  </si>
  <si>
    <t xml:space="preserve">unicef-ის კვლევიის მიხედვით, უპირატესად, მოწყვლადი კატეგორიის მოსახლეობისათვის აუცილებლობას წარმოადგენს მატერიალური დეპრივაციის დაძლევა და მინიმალური საცხოვრებელი პირობების შექმნა, რომლის დაძლევის მიზნით შემუშავებული იქნა ზემოაღნიშნული ქვეპროგრამა. ქვეპროგრამის ფარგლებში დაგეგმილია:                                                                                                                                                      
სოციალურად დაუცველი შშმ და ბინაზე მოვლის საჭიროების მქონე პირებისათვის, რომელთა სარეიტინგო ქულა არ აღემატება 57 001, სამი და მეტ შვილიანი სოციალურად  დაუცველი ოჯახებისათვის, რომელთა სარეიტინგო ქულა არ აღემატება 30 001 და სოციალურად დაუცველი ოჯახებისათვის, რომელთა სარეიტინგო ქულა არ აღემატება 1001-ს საკუთრებაში არსებული საცხოვრებელი ფართის რეაბილიტაციისათვის საჭირო მასალების შეძენა. </t>
  </si>
  <si>
    <t>სამშენებლო ვაუჩერის გაცემა</t>
  </si>
  <si>
    <r>
      <t>ქვეპროგრამით მოსარგებლე</t>
    </r>
    <r>
      <rPr>
        <sz val="9"/>
        <color rgb="FFFF0000"/>
        <rFont val="Sylfaen"/>
        <family val="1"/>
      </rPr>
      <t xml:space="preserve"> </t>
    </r>
    <r>
      <rPr>
        <sz val="9"/>
        <rFont val="Sylfaen"/>
        <family val="1"/>
      </rPr>
      <t>ოჯახების საშუალო რაოდენობა</t>
    </r>
  </si>
  <si>
    <t>უზრუნველყოფილია შეზღუდული შესაძლებლობების მქონე პირების გადაადგილება და მათი საზოგადოებაში ინტეგრირება</t>
  </si>
  <si>
    <t>1. უზრუნველყოფილია საქართველოს წითელი ჯვრის საზოგადოებისა და ბათუმის ხანდაზმულთა დღის სოციალური ცენტრისათვის დახმარების გაწევა; 
2. ფინანსურად მხარდაჭერილია ვეტერანთა საზოგადოებრივი ორგანიზაციები; 
3. ხელშეწყობილია შშმ და მოწყვლადი ჯგუფების მხარდამჭერი ორგანიზაციები.</t>
  </si>
  <si>
    <t>საზოგადოებრივი ორგანიზაციების ფინანსური დახმარება მოწყვლადი ჯგუფებისა და შშმ პირების მხარდაჭერის მიზნით</t>
  </si>
  <si>
    <t>კარტოფილის საფცქვნელი</t>
  </si>
  <si>
    <t>კონდენციონერი</t>
  </si>
  <si>
    <t>ცალი</t>
  </si>
  <si>
    <t>5 - ბენეფიციართა რაოდენობის ცვლილება (+/-)</t>
  </si>
  <si>
    <t>მოწყვლადი სოციალური ჯგუფის ოჯახების მხარდაჭერა</t>
  </si>
  <si>
    <t>საჭიროების მქონე პირები უზრუნველყოფილი არიან ერთჯერადი უფასო კვებით</t>
  </si>
  <si>
    <t>1% - მომართვიანობის ცვლილება +/-</t>
  </si>
  <si>
    <t>ქვეპროგრამის სარეზერვო სიით დამატებით ისარგებლებენ ის მოქალაქეები, რომელთა ჩართვის შესახებ გადაწყვეტილება მიღებული იქნება „ქალაქ ბათუმის მუნიციპალიტეტის ტერიტორიაზე სოციალურად დაუცველ და სხვა პირთა მატერიალური დახმარების გაწევის შემსწავლელი მუდმივმოქმედი საბჭოს" მიერ.</t>
  </si>
  <si>
    <t>ქვეპროგრამით მოსარგებლე ბენეფიციარებზე სადღესასწაულო დღეებში გაიცემა სასაჩუქრე ნობათები.</t>
  </si>
  <si>
    <t>სერვისით მოსარგებლე მოზარდთა რაოდენობა</t>
  </si>
  <si>
    <t>15% - მომართვიანობის ცვლილება +/-</t>
  </si>
  <si>
    <t>დღის ცენტრის მიერ გაწეული სერვისის ღირებულება</t>
  </si>
  <si>
    <t>კომუნალური სერვისების რაოდენობა, რომელზეც ვრცელდება სოციალური შეღავათები</t>
  </si>
  <si>
    <t>15 თებერვალი - სხვა სახელმწიფოთა ტერიტორიაზე ბრძოლებში შეძენილი შშმ სტატუსის მქონე პირები</t>
  </si>
  <si>
    <t>27 სექტემბერი -  საქართველოს ტერიტორიული მთლიანობის ბრძოლებში შეძენილი შშმ სტატუსის მქონე პირები და დაღუპულთა ოჯახის წევრები</t>
  </si>
  <si>
    <t>ახალ წელთან  დაკავშირებით - სხვა სახელმწიფო ტერიტორიაზე  ბრძოლებში შეძენილი შშმ სტატუსის მქონე პირები; 27 სექტემბერი -  საქართველოს ტერიტორიული მთლიანობის ბრძოლებში შეძენილი შშმ სტატუსის მქონე პირები და დაღუპულთა ოჯახის წევრები; II მსოფლიო ომის მონაწილეები და II მსოფლიო ომში დაღუპულთა ოჯახის წევრები.</t>
  </si>
  <si>
    <t>უპოვარ და მზრუნველობას მოკლებულ ბენეფიციარებზე ზრუნვა მუნიციპალიტეტის საქმიანობის ერთ-ერთ ძირითად მიმართულებას წარმოადგენს. განსაკუთრებით იმ პირთათვის, რომლებიც დარჩენილი არიან ყოველგვარი მოვლა-პატრონობის გარეშე. დღეისათვის არსებული სახელმწიფო თუ საერთაშორისო ორგანიზაციები სრულად ვერ ახდენენ ამ კატეგორიის მოქალაქეთა სამედიცინო-სოციალურ დახმარებას (სამედიცინო მომსახურება, თავშესაფრითა და კვებით უზრუნველყოფა და სხვა). ხშირ შემთხვევაში აქცენტი კეთდება მხოლოდ ინდივიდუალურ/ნაწილობრივ მომსახურებაზე (მხოლოდ ცალკე აღებული კვება, სამედიცინო მომსახურება ან თავშესაფარი).  ამ მხრივ ქ. ბათუმის მუნიციპალიტეტი უკვე წლების განმავლობაში ახორციელებს უპოვარ და მზრუნველობამოკლებულ ბენეფიციართა მოვლა-პატრონობის ხარჯების დაფინანსებას, რომელიც ითვალისწინებს ამ კატეგორიის მოქალაქეების თავშესაფრით, შესაბამისი სამედიცინო მომსახურებით, საყოფაცხოვრებო პირობებითა და კვებით უზრუნველყოფას.
გარდა ამისა გათვალისწინებულია სამედიცინო და სოციალური სერვისების მიწოდება სახლის პირობებში იმ ბენეფიციარებზე, რომლებსაც  გადაუდებელი აუცილებლობიდან გამომდინარე სჭირდებათ დახმარება. კერძოდ, მომსახურება გაეწევა ქრონიკულად დაავადებულ, ხანგრძლივი მოვლის საჭიროების მქონე ქ. ბათუმში რეგისტრირებულ 0-დან 100 000-მდე ქულის მქონე ბენეფიციარებს, შშმ პირებს და ასაკით პენსიონერებს. ისინი უზრუნველყოფილი იქნებიან სამედიცინო დახმარებით (პრევენცია, მკურნალობა, რეაბილიტაცია), ყოველდღიურ საქმიანობაში მხარდაჭერით (სამედიცინო განათლება პიროვნული უნარების განვითარებისა და ჰიგიენის კუთხით).</t>
  </si>
  <si>
    <t>გაეროს მდგრადი განვითარების მიზნების შესაბამისობა პროგრამასთან</t>
  </si>
  <si>
    <t>მიზანი 1 - სიღარიბის ყველა ფორმის აღმოფხვრა
მიზანი 2 - შიმშილის აღმოფხვრა, სასურსათო უსაფრთხოებისა  და გაუმჯობესებული კვების მიღწევა და მდგრადი სოფლის მეურნეობის ხელშეწყობა</t>
  </si>
  <si>
    <t>06 02 11</t>
  </si>
  <si>
    <t xml:space="preserve">საზოგადოებრივი ორგანიზაციების მატერიალური მხარდაჭერა </t>
  </si>
  <si>
    <t>ა(ა)იპ  ,,თანას '' დაფინანსება</t>
  </si>
  <si>
    <t>სასადილოების რემონტი</t>
  </si>
  <si>
    <t>შენობა-ნაგებობა</t>
  </si>
  <si>
    <t>სეანსი</t>
  </si>
  <si>
    <t>სერვისით მოსარგებლე მშობელთა რაოდენობა</t>
  </si>
  <si>
    <t>სადღესასწაულო დღეებში ვეტერანებზე (ომის მონაწილეები და ომში დაღუპულთა ოჯახის წევრები) მატერიალური დახმარების გაწევა</t>
  </si>
  <si>
    <t>0-100000-მდე სარეიტინგო ქულის მქონე სამშვილიანი ოჯახების ყოველთვიური დახმარება 100 ლარის ოდენობით</t>
  </si>
  <si>
    <t>0-100000-მდე სარეიტინგო ქულის მქონე ოთხშვილიანი ოჯახების ყოველთვიური დახმარება 120 ლარის ოდენობით</t>
  </si>
  <si>
    <t>0-100000-მდე სარეიტინგო ქულის მქონე ხუთი და მეტშვილიანი ოჯახების ყოველთვიური დახმარება 180 ლარის ოდენობით</t>
  </si>
  <si>
    <t>18 წლამდე შშმ პირთა ყოველთვიური მატერიალური დახმარება 50 ლარის ოდენობით</t>
  </si>
  <si>
    <t xml:space="preserve">გარდაცვლილი სოციალურად დაუცველი (0-100000 ქულის მქონე) პირი </t>
  </si>
  <si>
    <t>სოციალურად დაუცველი მრავალშვილიანი ოჯახების, ბათუმში რეგისტრირებული ძალადობის მსხვერპლი ბენეფიციარების, რეინტეგრირებული ოჯახების, უდედმამო ბავშვებისა და მარტოხელა მშობლების ყოველთვიური მატერიალური დახმარება</t>
  </si>
  <si>
    <t>დროებითი მუნიციპალური თავშესაფარი</t>
  </si>
  <si>
    <t>სამზარეულოს ავეჯი 30000 ავიდა</t>
  </si>
  <si>
    <t>უპოვარი და უსახლკარო პირების და სტიქიითა ან/და სხვა გაუთვალისწინებელი მიზეზებით ღია ცის ქვეშ დარჩენილი ოჯახების დროებითი თავშესაფრით უზრუნველყოფა</t>
  </si>
  <si>
    <t>ქვეპროგრამით გათვალისწინებული სერვისის მიწოდება</t>
  </si>
  <si>
    <t>2028 წლის დაფინანსება
(ლარი)</t>
  </si>
  <si>
    <t>საბაზისო 
2024 წელი</t>
  </si>
  <si>
    <t>მიზნობრივი
2028 წელი</t>
  </si>
  <si>
    <t>საბაზისო
2024 წელი</t>
  </si>
  <si>
    <t>ქ. ბათუმის მუნიციპალიტეტის საშუალოვადიან პრიორიტეტს წარმოადგენს სოციალური უზრუნველყოფის მიმართულებით მოქალაქეთა თანასწორობის უზრუნველყოფა. ქ. ბათუმის მუნიციპალიტეტის პრიორიტეტი თანხვედრაში მოდის საქართველოს მთავრობის პრიორიტეტულ მიმართულებებთან და მიმართულია სოციალურად დაუცველი ოჯახების, საზოგადოების მოწყვლადი ჯგუფების და შეზღუდული შესაძლებლობების მქონე პირების საბაზისო სოციალური გარანტიებით, მინიმალური სტანდარტებით და მიზნობრივი სოციალური დახმარებით უზრუნველყოფისკენ.  ქ. ბათუმის მოსახლეობის სოციალური უზრუნველყოფის ღონისძიებები ძირითადად ხორციელდება ცენტრალური ბიუჯეტით გათვალისწინებული პროგრამების ფარგლებში, თუმცა რჩება სოციალური უზრუნველყოფის მომსახურეობის ნაწილი, რომლის დაფინანსება აუცილებელია განხორციელდეს,  როგორც ადგილობრივი თვითმმართველობის საკუთარი უფლებამოსილებიდან, ასევე მოსახლეობის მოწყვლადი ჯგუფების საჭიროებებიდან და გადაუდებელი აუცილებლობიდან გამომდინარე ქალაქ ბათუმის მუნიციპალიტეტის ბიუჯეტით, რაც ძირითადად უზრუნველყოფილია სოციალური დაცვის მიზნობრივი ქვეპროგრამებით. პროგრამა უზრუნველყოფს ქალაქის ტერიტორიაზე მცხოვრები მოსახლეობის მოწყვლადი კატეგორიებისათვის (მკვეთრად გამოხატულ შშმ პირები და შშმ სტატუსის ბავშვები, ვეტერანები, მათთან გათანაბრებული პირები, ომში დაღუპულთა ოჯახის წევრები და მარჩენალდაკარგულები, სოციალურად დაუცველები, მრავალშვილიანი ოჯახები (5 და მეტი შვილი), მარტოხელა მშობლები და მათი შვილები და სხვები) სხვადასხვა სახის სერვისების მიწოდებას და მატერიალური დახმარებების გაწევას, კერძოდ: ხორციელდება კომუნალური მომსახურების საფასურის სუბსიდირება (წყლისა და კანალიზაციის, დასუფთავებისათვის მოსაკრებლის, სატელეფონო-სააბონენტო გადასახადის დაფარვა, გაზიფიცირების - ბუნებრივი აირის მილგაყვანილობისა და მრიცხველის სამონტაჟო სამუშაოების ღირებულების  90%-ის თანადაფინანსება, თხევადი აირის ტალონით დახმარება), მატერიალური დახმარებით უზრუნველყოფა, მუნიციპალური ტრანსპორტით მგზავრობის საფასურის სუბსიდირება, მრავალშვილიანი ოჯახების საცხოვრებელი ბინებით უზრუნველყოფის შემთხვევაში სარემონტო სამუშაოების ანაზღაურების უზრუნველყოფა, მზრუნველობასმოკლებულ და უპოვარ ბენეფიციართა მოვლა-პატრონობა (თავშესაფრით, სამედიცინო მომსახურებითა და კვებით უზრუნველყოფა), მოვლის საჭიროების მქონე პირთა ბინაზე მომსახურეობა (სამედიცინო და სოციალური სერვისების მიწოდება), უფასო კვებით უზრუნველყოფა (ყოველდღიურად დღეში ერთჯერ ცხელი საკვებით დაკმაყოფილება), ბენეფიციარებთა, რომლებსაც არ გააჩნიათ საარსებო წყარო და საცხოვრებელი, დროებითი ღამის თავშესაფრით უზრუნველყოფა, ბენეფიციართა მინიმალური საყოფაცხოვრებო სტანდარტებით დაკმაყოფილება ( საყოფაცხოვრებო ნივთებისა და სარემონტო მასალების შეძენა).</t>
  </si>
  <si>
    <t>ქ. ბათუმის მუნიციპალიტეტის საშუალოვადიან პრიორიტეტს წარმოადგენს მოწყვლადი სოციალური კატეგორიისათვის სოციალური თანასწორობის უზრუნველყოფა. ამ მიმართულებით მნიშვნელოვანია შესაბამისი კატეგორიის მოსახლეობისათვის კომუნალური, სატელეფონო-სააბონენტო გადასახადებისა და გაზიფიცირების მონტაჟის საფასურიდან გათავისუფლება, რაც გარკვეულწილად გააუმჯობესებს მათ მატერიალურ მდგომარეობას. აქედან გამომდინარე, შემუშავებული იქნა კომუნალური მომსახურების საფასურის სუბსიდირების ქვეპროგრამა.
სოციალური უზრუნველყოფის მიმართულებით, ქვეპროგრამის ფარგლებში დაგეგმილია შემდეგი ღონისძიებები:
1. ა) მკვეთრად გამოხატული შშმ პირების, მათ შორის შშმ სტატუსის ბავშვების; ბ) ვეტერანების, მათთან გათანაბრებული პირების, ომში დაღუპულთა ოჯახის წევრების და მარჩენალდაკარგულების; გ) 0-დან 70000 ქულის მქონე სოციალურად დაუცველი პირების, მრავალშვილიანი ოჯახების (5 და მეტი შვილი), მარტოხელა მშობლების (მარტოხელა დედა / მარტოხელა მამა) და მათი შვილების ყოველთვიურად წყლისა და კანალიზაციის საფასურის (ერთეულის ფასი - 2,6255ლარი) საქართველოს ენერგეტიკისა და და წყალმომარაგების მარეგულირებელი ეროვნული კომისიის 2021  წლის 30 დეკემბრის #74 დადგენილებით და დასუფთავების მოსაკრებლის (ერთეულის ფასი - 1,30 ლარი) უზრუნველყოფა. ქალაქ ბათუმის საკრებულოს 2016 წლის 29 იანვრის #3 დადგენილებით იმ ფიზიკური პირებისათვის, რომელთა ოჯახის სარეიტინგო ქულა 70001-მდეა, მოსაკრებლის განაკვეთი ერთ სულ მოსახლეზე განისაზღვრა 1,00 ლარით, ოჯახის წევრთა რაოდენობის მიუხედავად, სულადობის მაქსიმალური ზღვრული ოდენობა განისაზღვრა 4 სულით;
2. ა) მკვეთრად გამოხატული შშმ პირების, მათ შორის შშმ სტატუსის ბავშვების; ბ) ვეტერანების, მათთან გათანაბრებული პირების, ომში დაღუპულთა ოჯახის წევრების და მარჩენალდაკარგულების ყოველთვიურად სატელეფონო-სააბონენტო გადასახადის დავალიანების (ერთეულის ფასი - არაუმეტეს 5 ლარისა) დაფარვით უზრუნველყოფა;
3. ა) მკვეთრად გამოხატული შშმ პირის, მათ შორის შშმ სტატუსის ბავშვების; ბ) ვეტერანების, მათთან გათანაბრებული პირების, ომში დაღუპულთა ოჯახის წევრების და მარჩენალდაკარგულების; გ) 0-დან 70000 ქულის მქონე სოციალურად დაუცველი ოჯახის გაზიფიცირებით უზრუნველყოფა - კერძოდ, ბუნებრივი აირის მილგაყვანილობისა და მრიცხველის სამონტაჟო სამუშაოების ღირებულების 90%-ის თანადაფინანსება ერთი წერტილის გათვალისწინებით გაზქურამდე;
4. ვეტერანის, მათთან გათანაბრებული პირების, ომში დაღუპულთა ოჯახის წევრების და მარჩენალდაკარგულებისათვის ყოველთვიურად 5 კგ თხევადი აირის შეძენა, რომელთაც არა აქვთ შეყვანილი ბუნებრივი აირი საცხოვრებელ ფართში.</t>
  </si>
  <si>
    <t>ვეტერანი, მათთან გათანაბრებული პირი, ომში დაღუპულთა ოჯახის წევრები და მარჩენალდაკარგულები</t>
  </si>
  <si>
    <t>მკვეთრად გამოხატული შშმ პირები და შშმ სტატუსის  ბავშვები</t>
  </si>
  <si>
    <t xml:space="preserve">საცხოვრებელი ფართის გაზიფიცირების დროს წარმოსადგენი საჭირო დოკუმენტაცია: 
ა) ქვეპროგრამით მოსარგებლის სტატუსის დამადასტურებელი საბუთი (ვეტერანი, შშმ პირი, შშმ სტატუსის ბავშვი, სოციალურად დაუცველი);
ბ) პირადობის მოწმობის ასლი; 
გ) ბუნებრივი აირის მოწყობილობის მონტაჟის ხელშეკრულება (განაცხადი); 
დ) ინვოისი; 
ე) მომსახურეობის 10%-ის (80 ლარის) გადახდის დამადასტურებელი საბუთი.
ვ) საკუთრების დამადასტურებელი ამონაწერი საჯარო რეესტრიდან. ახალ საცხოვრებელ კორპუსში მდებარე საცხოვრებელი ფართის გაზიფიცირების  შემთხვევაში  ბენეფიციარის მიერ წაემოდგენილი უნდა იყოს: ა) ქვეპროგრამით მოსარგებლის სტატუსის დამადასტურებელი საბუთი (ვეტერანი, შშმ პირი, შშმ სტატუსის ბავშვი, სოციალურად დაუცველი); ბ) პირადობის მოწმობის ასლი; გ) საკუთრების დამადასტურებელი ამონაწერი საჯარო რეესტრიდან.  დ) ბენეფიციარის აბონენტად   (გაზის მრიცხველის ნომერი ) დარეგისტრირების ნომერი. ე)ანგარიშის ნომერი ბანკიდან.ე) ცნობა გაზის შემყვანი კომპანიიდან
 შშმ სტატუსის ბავშვის შემთხვევაში ერთ-ერთი მშობლის პირადობის მოწმობა, შშმ სტატუსის ბავშვის დაბადების მოწმობა  და მშობლის სახელზე გაფორმებული ხელშეკრულება ბუნებრივი აირის შემყვან კომპანიასთან. 2024 წელს პროგრამის ფარგლებში გაზიფიკაციის ვაუჩერი დაუფინანსდება იმ 0-70000 ქულის ჩათვლით მქონე სოციალურად დაუცველ პირებს, მკვეთრად გამოხატული შშმ პირებს, შშმ სტატუსის მქონე ბავშვებს,  ვეტერანებს და მათთან გათანაბრებულ პირებს, რომლებსაც 2024 წლის ოქტომბერ -დეკემბერში ბუნებრივი აირის შემყვან კომპანიასთან  ჰქონდათ გაფორმებული ხელშეკრულება და მიუხედავად ამისა ვერ მოხერხდა მათი საცხოვრებელი ფართის გაზიფიცირების დაფინანსება. 2025  წელს გათვალისწინებული მომსახურება განხორციელდება  ვაუჩერის საშუალებით. ვაუჩერის გაცემის, გამოყენების წესს და ქვეპროგრამის ღონისძიებასთან დაკავშირებულ სხვა პროცედურებს საჭიროების შემთხვევაში განსაზღვრავს ქ. ბათუმის მერი. შშმ პირები, ომის ვეტერანები, მათთან გათანაბრებული პირები, ომში დაღუპულთა ოჯახის წევრები და მარჩენალდაკარგულები რეგისტრირებული უნდა იყვნენ ქ. ბათუმში 2025 წლის პირველ იანვრამდე. სოციალურად დაუცველ პირებს სარეიტინგო ქულები (0-70000) მინიჭებული უნდა ჰქონდეთ ქ. ბათუმში. 
ღირებულების 90%-ს - 720 (შვიდას ოცი) ლარის ოდენობით ანაზღაურებს ქ. ბათუმის მერია, ხოლო 10% - 80 ლარის ოდენობით გადახდილი უნდა იქნას ბენეფიციარის მიერ ახალი მომხმარებლის გამანაწილებელ ქსელზე მიერთების შესახებ განცხადების წარდგენამდე. </t>
  </si>
  <si>
    <t xml:space="preserve"> საჭიროების შემთხვევაში ღონისძიებებს  შორის თანხა შეიძლება გადანაწილდეს</t>
  </si>
  <si>
    <t>30  წლის ასაკის ჩათვლით შშ მოვლის საჭიროების მქონე პირთა მატერიალური დახმარება ყოველთვიურად 60 ლარის ოდენობით</t>
  </si>
  <si>
    <t>1. შვილის შეძენასთან დაკავშირებით მატერიალურ დახმარებას მიიღებენ ის ოჯახები, რომლებიც რეგისტრირებულნი არიან (ორივე  ან ერთ-ერთი მშობელი) ქ. ბათუმში 2025 წლის პირველ იანვრამდე და  ქ. ბათუმის სოციალურად დაუცველი ოჯახების მონაცემთა ბაზაში , აქვთ სარეიტინგო ქულა 0-დან 100 000-ის ჩათვლით. 2025 წლის ქვეპროგრამის ფარგლებში, ერთჯერადი მატერიალური დახმარება გაეწევა აგრეთვე იმ 0-დან 100 000-მდე სარეიტინგო ქულის მქონე ოჯახებს, რომლებსაც ახალშობილი შეეძინათ 2024 წლის ნოემბერ-დეკემბერში და არ უსარგებლიათ დახმარებით. მათ  დახმარება გაეწევათ 2024 წლის ტარიფით და ქვეპროგრამის პირობებით.  თანხის ჩარიცხვა განხორციელდება ერთ-ერთი მშობლის ანგარიშზე.
საჭირო დოკუმენტაცია: განცხადება; ორივე მშობლის პირადობის მოწმობა; ქორწინების (ასეთის არსებობის შემთხვევაში) და ბავშვების დაბადების მოწმობები; საბანკო რეკვიზიტი; ამონაწერი სოციალური მომსახურეობის სააგენტოდან სარეიტინგო ქულების მითითებით.</t>
  </si>
  <si>
    <t>2. სოციალურად დაუცველი ბენეფიციარის და ვეტერანის გარდაცვალების შემთხვევაში ერთჯერადი მატერიალური დახმარების გასაწევად საჭიროა შემდეგი დოკუმენტაცია: განცხადება, განმცხადებლის პირადობის დამადასტურებელი მოწმობა, გარდაცვალების მოწმობა, ამონაწერი სოციალური მომსახურეობის სააგენტოდან სარეიტინგო ქულების შესახებ ან ვეტერანის მოწმობა, საბანკო რეკვიზიტი. საჭიროების შემთხვევაში განმცხადებელმა უნდა წარმოადგინოს გარდაცვლილ ბენეფიციარზე გაწეული ხარჯის დამადასტურებელი დოკუმენტაცია (ინვოისი,ზედნადები). 2025 წელს პროგრამის ფარგლებში ერთჯერადი მატერიალური დახმარება აგრეთვე გაეწევა  2024  წლის ნოემბერ- დეკემბერში  გარდაცვლილი 0-დან - 100 000 ქულის მქონე სოციალურად დაუცველი და გარდაცვლილი ვეტერანის ოჯახს, რომელთაც  არ უსარგებლიათ აღნიშნული მატერიალური დახმარებით, ხოლო დახმარება გაიცემა 2024  წლის ქვეპროგრამული თანხის შესაბამისად.</t>
  </si>
  <si>
    <t xml:space="preserve">3. სატრანსპორტო ხარჯებით  უზრუნველყოფილნი იქნებიან  ის ეტლით მოსარგებლე შშმ სტატუსის მქონე ქ. ბათუმში 2025 წლის 1 იანვრამდე რეგისტრირებული სტუდენტები, რომლებიც უმაღლეს ან საშუალო-სპეციალურ განათლებას ღებულობენ  ქ. ბათუმის ტერიტორიაზე  არსებულ აკრედიტირებულ უმაღლეს სასწავლებლებში, კოლეჯებში.  საჭირო დოკუმენტაცია: განცხადება, პირადობის მოწმობა ან აიდი ბარათი, ცნობა სოციალური მომსახურეობის სააგენტოდან შშმპ სტატუსის შესახებ, სასწავლებლიდან  სტუდენტის დამადასტურებელი ცნობა, სტუდენტის საბანკო რეკვიზიტი. </t>
  </si>
  <si>
    <t>4. ' 'სსიპ ქ. ბათუმის #13 და #17 საჯარო სკოლების სპეციალური საგანმანათლებლო საჭიროების მქონე მოსწავლეებისათვის ტრანსპორტით უზრუნველყოფის სუბსიდირების ღონისძიების ჩართვა განხორციელდება ქ. ბათუმის რესურსცენტრის მიერ მოწოდებული სიების საფუძველზე. დაფინანსება განხორციელდება ორი გზა ( საჯარო სკოლამდე მისვლა და შინ დაბრუნება) 12 ლარის ოდენობით ერთი დღე. დაფინანსება განხორციელდება შესაბამისი საჯარო სკოლების მიერ წარმოდგენილი ტაბელის წარმოდგენის შემდეგ.</t>
  </si>
  <si>
    <t>ყოველთვიური მატერიალური დახმარების გაწევის შემთხვევაში აღრიცხვაზე აყვანის დროს საჭირო დოკუმენტაცია: განცხადება, მშობლების პირადობის დამადასტურებელი მოწმობის ქსეროასლები, ბავშვების დაბადების მოწმობების ქსეროასლები, ქორწინების მოწმობა (არსებობის შემთხვევაში), საბანკო რეკვიზიტი, ამონაწერი სოციალური მომსახურების სააგენტოდან სარეიტინგო ქულების შესახებ, რომელშიც მითითებულია ოჯახის წევრები (დედა ან/და მამა, 3, 4, 5 და მეტი ბავშვი), მოკვლევა შესაბამისი ადმინისტრაციული ერთეულიდან საჭიროების შემთხვევაში, ცნობა საჯარო რეესტრიდან მარტოხელა მშობლის სტატუსის შესახებ (ასეთის არსებობის შემთხვევაში). მშობლები ან ერთ-ერთი მშობელი დარეგისტრირებული უნდა იყოს ქ. ბათუმში და მათ ბავშვებთან ერთად სოციალური მომსახურების სააგენტოდან სარეიტინგო ქულები უნდა ჰქონდეთ მინიჭებული ქ. ბათუმში. 
არსებული ბაზების ყოველთვიური გადამოწმების შემდეგ, მატერიალური დახმარება გაიცემა ქ. ბათუმში მცხოვრებ იმ სამ, ოთხ, ხუთშვილიანი და მეტი 0-100000-მდე სარეიტინგო ქულის მქონე ოჯახებზე, რომელთაც ყველა ბავშვი დარეგისტრირებული ჰყავთ სოციალური სააგენტოს მიერ მოწოდებულ სარეიტინგო ქულების ამონაწერში, ქ. ბათუმში. მატერიალური დახმარება გაიცემა ქ. ბათუმში რეგისტრირებულ სოციალურად დაუცველ სამშვილიან ოჯახებზე ერთი შვილის 18 წლის შესრულებამდე. მატერიალური დახმარება ოთხ შვილზე 120 ლარის ოდენობით გაიცემა ქ. ბათუმში რეგისტრირებულ სოციალურად დაუცველ ოთხშვილიან ოჯახებზე ერთი შვილის 18 წლის შესრულებამდე. ერთი შვილის 18 წლის შესრულების შემდეგ ისინი მიიღებენ ქ. ბათუმში რეგისტრირებულ სოციალურად დაუცველ სამშვილიანი ოჯახებისათვის განსაზღვრულ დახმარებას 100 ლარის ოდენობით. მატერიალური დახმარება ხუთ და მეტშვილიან ოჯახებზე 180 ლარის ოდენობით გაიცემა  ქ. ბათუმში რეგისტრირებულ სოციალურად დაუცველ ხუთ და მეტშვილიან ოჯახებზე ერთი შვილის 18 წლის შესრულებამდე. ერთი შვილის 18 წლის შესრულების შემდეგ ისინი მიიღებენ  ქ. ბათუმში  რეგისტრირებულ სოციალურად დაუცველ ხუთშვილიანი, ოთხშვილიანი, სამშვილიანი ოჯახებისათვის განსაზღვრულ დახმარებას ტარიფის მიხედვით. ხუთი და მეტშვილიანი ოჯახების ყოველთვიური დახმარება 150 ლარის ოდენობით განხორციელდება მხოლოდ იმ ოჯახებისათვის, რომელთაც ეყოლებათ 18 წლამდე ასაკის ხუთი შვილი. 
2025 წლიდან მომართვის შემთხვევაში მარტოხელა მშობელი და ბავშვი რეგისტრირებული უნდა იყოს ქ. ბათუმში 2025 წლის პირველ იანვრამდე. 
მარტოხელა მშობლები ვერ ისარგებლებენ ორი სერვისით აღნიშნული ღონისძიებიდან. 
დედ-მამით ობოლი ბავშვები, რომლებსაც მატერიალური დახმარების გაცემის პერიოდისთვის უკვე დანიშნული ჰყავთ მეურვე და/ან მზრუნველი, რეგისტრირებული უნდა იყვნენ ქ. ბათუმში 2025 წლის პირველ იანვრამდე.</t>
  </si>
  <si>
    <t xml:space="preserve">განსაზღვრული სოციალური კატეგორიების პირთა (ბათუმის ხანდაზმულთა სოციალური ცენტრის ბენეფიციარები, ვეტერანებისა და მათთან გათანაბრებული პირები, 0-70 000 ქულის მქონე ბენეფიციარები, შშმ პირები, შშმ სტატუსის ბავშვები, მოსწავლეები, მასწავლებლები, ზოგადსაგანმანათლებლო დაწესებულებების თანამშრომლები და სკოლების მანდატურები,  საბავშვო ბაღების და ბიბლიოთეკების თანამშრომლები, პროფესიული კოლეჯის "Black sea" თანამშრომლები, სოციალური სააგენტოს თანამშრომლები, სტუდენტები, იძულებით გადაადგილებული პირები, ასაკით პენსიონერები, მარტოხელა მშობლები და სსიპ სახელმწიფო ზრუნვისა და ტრეფიკინგის მსხვერპლთა აჭარის რეგიონალური ცენტრის ბენეფიციარები) მუნიციპალური ტრანსპორტით მგზავრობის საფასურის 100%-ით სუბსიდირება </t>
  </si>
  <si>
    <t>2. ქვეპროგრამის ფარგლებში მხარდაჭერა ასევე გათვალისწინებულია ბათუმის ვეტერანთა საზოგადოებრივ ორგანიზაციებზე, რომლებიც უზრუნველყოფენ ვეტერანთა ინფორმირებას და მეტ ჩართულობას სოციალურ პროგრამებში, შემოდიან წინადადებებით ვეტერანებისათვის ახალი პროქტების შემუშავებისა და განხორციელების თვალსაზრისით, აქტიურად ერთვებიან და მონაწილეობენ ვეტერანებისათვის ორგანიზებულ ღონისძიებებში.</t>
  </si>
  <si>
    <t>1. საქართველოს წითელი ჯვრის საზოგადოების ბათუმის ხანდაზმულთა სოციალური ცენტრი გაიხსნა 2011 წელს და დღემდე აგრძელებს ხანდაზმულ მოხუცებზე და პენსიონერებზე ზრუნვას, უქმნის მათ ცენტრის პირობებში თბილ გარემოს, აწყობს მათი ნამუშევრების (ხელნაკეთი ნივთების) გამოფენა-გაყიდვას, მათი მონაწილეობით კულტურულ ღონისძიებებსა და ექსკურსიებს. ხანდაზმულთა დღის სოციალური ცენტრის მართვასა და ფუნქციონირებაში ადგილობრივი თვითმმართველობის მეტი ჩართულობის და მათი როლის გაზრდის მიზნით, სოციალური დაცვის პროგრამის ფარგლებში არაერთი წელია ბათუმის მუნიციპალიტეტის მერია უწევს მატერიალურ მხარდაჭერას ბათუმის ხანდაზმულთა დღის სოციალურ ცენტრს, რომელიც ითვალისწინებს საოფისე (საკანცელარიო, კომუნალური) ხარჯების დაფარვასა და საყოფაცხოვრებო ნივთების შეძენას. საქართველოს წითელი ჯვრის საზოგადოება დებულებიდან გამომდინარე ახორციელებს სხვადასხვა აქტივობებს სტიქიური უბედურებების და საგანგებო სიტუაციების დროს, სისხლის დონაციას ეპიდემიების დროს, ასევე მონაწილეობს სამძებრო და სამაშველო საქმიანობაში, მოსახლეობისათვის პირველადი დახმარების უზრუნველყოფასა და გადამზადებაში. ამ კუთხით ადგილობრივი თემების გაძლიერების, კატასტროფების ზეგავლენის შემსუბუქების, უსაფრთხო გარემოს და სიცოცხლის ხელშეწყობის მიზნით, ქ. ბათუმის მუნიციპალიტეტი ახორციელებს საქართველოს წითელი ჯვრის საზოგადოების სუბსიდირებას.</t>
  </si>
  <si>
    <t xml:space="preserve">3. შშმ პირთათვის მნიშვნელოვანი შშმ პირთა საოჯახო ტიპის სახლის მხარდაჭერა, რის ფარგლებშიც მუნიციპალიტეტის მიერ ხორციელდება მათი ყოველთვიური სუბსიდირება. 
4.დამოუკიდებელი ცხოვრების დღის ცენტრი დამოუკიდებელი ცხოვრების პროგრამის ფარგლებში USAID-ის მიერ ფინანსირდება 57%-ის ოდენობით, ხოლო დარჩენილი 43%-ის დაფინანსება, რაც მოიცავს იჯარის, კომუნალური, ტრანსპორტირების ღონისძიებებისა და საოფისე ხარჯებს, რომელიც შეადგენს თვეში 2 985 ლარს და აუცილებელია ცენტრის ფუნქციონირებისათვის, ხდება მუნიციპალიტეტის მიერ. </t>
  </si>
  <si>
    <t>5. ასევე აქტუალური და სასიცოცხლოდ აუცილებელია აიპ „იალქანის", ააიპ  ,,თანას '' დაფინანსება და ბათუმის განათლების განვითარებისა და დასაქმების ცენტრის მხარდაჭერის ღონისძიებები, რომლებიც ახორციელებენ მიუსაფარი და შშმ პირების მხარდაჭერას და გულისხმობს საოფისე და კომუნალური ხარჯების დაფინანსებას.</t>
  </si>
  <si>
    <t>1. სოციალურად დაუცველი ოჯახებისათვის სარემონტო მასალების (საკუთრებაში არსებული საცხოვრებელი ფართის სარემონტო სამუშაოების ჩატარებისათვის) შეძენის მიზნით მოხდება აღნიშნული ოჯახების/პირების საცხოვრებელი და საყოფაცხოვრებო პირობების კვლევა სერვის ცენტრის მენეჯერების მიერ. სარემონტო მასალების შეძენა მოხდება ვაუჩერის საფუძველზე. ვაუჩერის ფორმა, მიმოქცევისა და ანგარიშსწორების პირობები მტკიცდება ქ. ბათუმის მუნიციპალიტეტის მერის ინდივიდუალური ადმინისტრაციულ-სამართლებრივი აქტით.  დახმარების მიმღებმა პირმა უნდა წარმოადგინოს შემდეგი დოკუმენტაცია: 1. განცხადება; 2. პირადობის მოწმობის ქსეროასლი; 3. ამონაწერი სოციალური მომსახურების სააგენტოდან სარეიტინგო ქულების შესახებ; 4. სარემონტო მასალების შეძენისას (სარეაბილიტაციო სამუშაოების ჩატარების მიზნით) უნდა წარმოადგინოს გასაწევი ხარჯის შესაბამისი ხელშეკრულება, ანგარიშ-ფაქტურა, ინვოისი, სასაქონლო ზედნადებები;  5. საცხოვრებელი ფართის საკუთრებლებესარგბის დამადასტურებელი ამონაწერი საჯარო რეესტრიდან.
საკუთრებაში არსებული საცხოვრებელი ფართის სარეაბილიტაციო მასალის  ღირებულება არ უნდა აღემატებოდეს 2000 ლარს, რომელიც გაიცემა ვაუჩერით. ქვეპროგრამით ისარგებლებენ ქ. ბათუმში 2025 წლის პირველ იანვრამდე რეგისტრირებული პირები, რომელთაც სოციალური მომსახურების სააგენტოდან სარეიტინგო ქულები  მინიჭებული აქვთ  ქ. ბათუმში.</t>
  </si>
  <si>
    <t xml:space="preserve">მოწყვლადი სოციალური ჯგუფის მქონე ოჯახების ბავშვთა სოციალური და სასიცოცხლო უნარჩვევების გაძლიერება, ქუჩაში გატარებული დროის მაქსიმალურად შემცირება, ამავე კატეგორიის ოჯახების მშობელთა ხელშეწყობა. შშმ პირთა მშობლების ფსიქოლოგიური დახმარება , ფსიქოგანათლების მიღება,  ცნობიერების ამაღლება და ყოველდღიური ყოფითი ცხოვრების  გაიოლება. </t>
  </si>
  <si>
    <t>მაცივარი</t>
  </si>
  <si>
    <t>ურიკა</t>
  </si>
  <si>
    <t>პრინტერი, სკანერი, ასლგადამღები</t>
  </si>
  <si>
    <t>ქ. ბათუმში რეგისტრირებულ ოჯახური ძალადობის მსხვერპლ ბენეფიციართათვის მატერიალური დახმარება ყოველთვიურად 400 ლარის ოდენობით ერთი წლის განმავლობაში ხელის შეწყობის მიზნით</t>
  </si>
  <si>
    <t>unicefi- ს რეკომენდაციების შესაბამისად მოწყვლადი კატეგორიის ოჯახებისათვის აუცილებლობას წარმოადგენს მატერიალური დახმარებები. აქედან გამომდინარე, შემუშავებული იქნა მოწყვლადი სოციალური კატეგორიების მატერიალური დახმარებით უზრუნველყოფის ქვეპროგრამა, რომლის ფარგლებშიც მატერიალური დახმარება გაეწევათ: 
1. ომისა და სამხედრო ძალების ვეტერანებს სადღესასწაულო დღეებთან დაკავშირებით, კერძოდ: 15 თებერვალს - სხვა სახელმწიფოთა ტერიტორიაზე ბრძოლებში შეძენილი შშმ სტატუსის მქონე პირებს; 9 მაისსთან დაკავშირებით - II მსოფლიო ომის ვეტერანებს და II მსოფლიო ომში დაღუპული პირის ოჯახის წევრებს; 27 სექტემბერთან დაკავშირებით საქართველოს ტერიტორიული მთლიანობის ბრძოლებში შეძენილი შშმ სტატუსის მქონე პირებს და დაღუპულთა ოჯახის წევრებს; ახალ წელთან დაკავშირებით - სხვა სახელმწიფოთა ტერიტორიაზე ბრძოლებში შეძენილი შშმ სტატუსის მქონე პირებს, საქართველოს ტერიტორიული მთლიანობის ბრძოლებში შეძენილი შშმ სტატუსის მქონე პირებს და დაღუპულთა ოჯახის წევრებს, II მსოფლიო ომის ვეტერანებს და II მსოფლიო ომში დაღუპულთა ოჯახის წევრებს. 
2. შვილის შეძენასთან დაკავშირებით  0-დან 100 001- მდე ქულის მქონე ოჯახებს.
3. გარდაცვლილი ვეტერანის (ომის მონაწილე) და სოციალურად დაუცველი გარდაცვლილი პირის 0-100000  სარეიტინგო ქულის მქონე ოჯახის წევრებს. 
4. ეტლით მოსარგებლე შშ სტატუსის მქონე სტუდენტებს სატრანსპორტო ხარჯების დაფარვის მიზნით. 
5. 0-100 000-მდე სარეიტინგო ქულის მქონე 3-შვილიან ოჯახებს,  0-100000-მდე სარეიტინგო ქულის მქონე 4-შვილიან ოჯახებს, 0-100000-მდე სარეიტინგო ქულის მქონე 5 და მეტი შვილიან ოჯახებს, უდედმამო ბავშვებს (ყოველთვიური დახმარება), მარტოხელა მშობლებს (ყოველთვიური დახმარება).
6. 0-დან 100 000 ქულის მქონე ოჯახებს ბავშვთა მოვლის საშუალებების შეძენის მიზნით (ყოველთვიური დახმარება ყოველ ერთ წლამდე).  
7. ქ. ბათუმში რეგისტრირებულ ძალადობის მსხვერპლ ბენეფიციართა ოჯახებს;
8. რეინტეგრირებულ ოჯახებს;
9. 30 წლის ასაკის ჩათვლით შშ მოვლის საჭიროების მქონე პირებს.  
10. სოციალურად დაუცველ ოჯახებს (0-100000 ქულის მქონე) ყოველი ერთი წლიდან ორ წლამდე ასაკის ბავშვზე ყოველთვიური მატერიალური დახმარების გაწევის მიზნით.
11. 18 წლამდე შშმ პირებს (ყოველთვიური მატერიალური დახმარება); 
12. 30001-მდე ქულის მქონე ოჯახებს კომუნალური გადასახადების დაფარვის მიზნით (5 თვის განმავლობაში).
13. სსიპ ქ. ბათუმის #13 და #17 საჯარო სკოლების სპეციალური საგანმანათლებლო საჭიროების მქონე მოსწავლეებს ტრანსპორტით უზრუნველყოფის მიზნით.</t>
  </si>
  <si>
    <t>5. 18 წლამდე შშმ პირთა ყოველთვიური  მატერიალური  დახმარებას 50 ლარის ოდენობით მიიღებენ ქ. ბათუმში 2025 წლის პირველ იანვრამდე რეგისტრირებული პირები.
6.  0-30001-მდე  ქ. ბათუმის სარეიტინგო ქულების  მქონე ოჯახების კომუნალური გადასახადების სუბსიდირება განხორციელდება (იანვარი-მარტი, ნოემბერ-დეკემბერში ) 30 ლარის ოდენობით ყოველთვიურად. ოჯახების გადამოწმება განხორციელდება სოციალური სააგენტოს მიერ მოწოდებულ ბაზებში. თანხის ჩარიცხვა განხორციელდება ბენეფიციართა პირად ანგარიშზე.
7. ყოველთვიური მატერიალური დახმარება გაეწევა ქ. ბათუმში რეგისტრირებულ იმ ოჯახური ძალადობის მსხვერპლ ბენეფიციარებს, რომელთაც მინიჭებული აქვთ: ა) ძალადობის მსხვერპლის სტატუსი; ბ) აქვთ პროკურატურის დადგენილება დაზარალებულად ცნობის შესახებ. დახმარების გაწევა განხორციელდება ერთი წლის განმავლობაში</t>
  </si>
  <si>
    <r>
      <rPr>
        <b/>
        <sz val="9"/>
        <rFont val="Sylfaen"/>
        <family val="1"/>
      </rPr>
      <t>ქვეპროგრამით ისარგებლებენ:</t>
    </r>
    <r>
      <rPr>
        <sz val="9"/>
        <rFont val="Sylfaen"/>
        <family val="1"/>
      </rPr>
      <t xml:space="preserve">
1. ქ. ბათუმში  რეგისტრირებული მარტოხელა, მიუსაფარი და სოციალურად დაუცველ ოჯახთა მზრუნველობას მოკლებული ადამიანები.
2. მომსახურება გაეწევა ქრონიკულად დაავადებულ, ხანგრძლივი მოვლის საჭიროების მქონე ან/და საწოლს მიჯაჭვულ  ქ. ბათუმში 2025 წლის პირველ იანვრამდე რეგისტრირებულ 0-დან 100 000-მდე ქულის მქონე  ბენეფიციარებს, შშმ პირებს, ასაკით პენსიონერებს.
 მოსარგებლეთა შერჩევა მოხდება შემოსული განცხადებების საფუძველზე. განცხადებასთან ერთად უნდა იყოს წარმოდგენილი: პირადობის მოწმობის ქსეროასლი, საჭიროების შემთხვევაში ამონაწერი სოციალური მომსახურების სააგენტოდან სარეიტინგო ქულების შესახებ, საპენსიო მოწმობა და ფორმა 100 ჯანმრთელობის მდგომარეობის შესახებ. ბინაზე მოვლის საჭიროების მქონე პირთა მოვლა-პატრონობა შესაძლებელია განხორციელდეს თანადაფინანსების პრინციპით შესაბამისი გამოცდილების მქონე ორგანიზაციათან ურთიერთშეთანხმების საფუძველზე. სამედიცინო და სოციალური სერვისების მიწოდებას სახლის პირობებში უზრუნველყოფს მულტიდისციპლინარული ჯგუფი: 3 ექთნით, 1 ექთნის ასისტენტით, 1 საინფორმაციო ბაზის ოფიცრით, და ამავდროულად უზრუნველყოფილი იქნება ოფისით, ტრანსპორტით და ტექნიკური აღჭურვილობით. ღონისძიებაში ჩართულ ბენეფიციარებთან  ვიზიტის სიხშირე განისაზღვრება მათი ჯანმრთელობის მდგომარეობის სიმძიმიდან გამომდინარე, ხოლო ბათუმის მუნიციპალიტეტის მერიის მიერ ყოველთვიურად  ერთ ბენეფიციარზე გამოყოფილი თანხა საშუალოდ 54,00 (ორმოცდათოთხმეტი  და 00 თეთრი) ლარის ოდენობით (მედიკამენტებისა და ჰიგიენური საფენების შესაძენად) გადანაწილდება თითეულ ბენეფიციარზე საჭიროების მიხედვით.</t>
    </r>
  </si>
  <si>
    <t>საზოგადოებრივ ორგანიზაციებს ფინანსური დახმარება გაეწევათ  მათ მიერ წარმოდგენილი წერილის საფუძველზე, რომელშიც მითითებული იქნება სხვადასხვა ღონისძიებებისათვის (საკანცელარიო, ოფისის, კომუნალური, სამივლინებო, მიმდინარე აქტივობები, სხვადასხვა ხარჯები (საოფისე და საყოფაცხოვრებო ნივთების შეძენა)) საჭირო თანხების ოდენობა. 
პროგრამაში ჩართულმა ორგანიზაციებმა ყოველ 6 თვეში ერთხელ უნდა წარმოადგინონ ანგარიში გაწეული საქმიანობის შესახებ.</t>
  </si>
  <si>
    <t>ა(ა)იპ - ბათუმის სოციალური სერვისების სააგენტო ქ. ბათუმის მუნიციპალიტეტის ტერიტორიაზე არსებული ექვსი უფასო მუნიციპალური სასადილოს მეშვეობით ყოველდღიურად, დღეში ერთხელ, აწვდის სოციალურად დაუცველ ბენეფიციარებს ცხელ საკვებს, რომელიც გადაუდებელ აუცილებლობას წარმოადგენს მათი არსებობისათვის. 2025 წელს სააგენტო მოემსახურება 7650 ბენეფიციარს. ყოველთვიურად ხდება მოსარგებლე პირთა რაოდენობაში ცვლილების შეტანა სსიპ საქართველოს სოციალური მომსახურეობის სააგენტოდან მოწოდებული სოციალურად დაუცველ ბენეფიციართა ბაზის საფუძველზე. მომსახურეობით ისარგებლებენ ის მოქალაქეები, რომლებიც მონაწილეობენ „სოციალურად დაუცველი ოჯახების იდენტიფიკაციის, სოციალურ-ეკონომიკური მდგომარეობის შეფასებისა და მონაცემთა ბაზის ფორმირების სახელმწიფო პროგრამაში“ და მინიჭებული აქვთ 0-დან 65000 ჩათვლით სარეიტინგო ქულა. ბენეფიციართა შერჩევა ხორციელდება ელექტრონული პროგრამის მეშვეობით, სარეიტინგო ქულების მიხედვით, ქვევიდან ზევით პრინციპით. ქვეპროგრამით ასევე გათვალისწინებულია მარტოხელა ბენეფიციართათვის, რომლებიც ჯანმრთელობის მდგომარეობის გამო ვერ ახერხებენ გადაადგილებას, ბინაზე მომსახურება და ადგილზე საკვების მიწოდება. 
უფასო მუნიციპალური სასადილოების გამართული და შეუფერხებელი ფუნქციონირების მიზნით განხორციელდება ორგანიზაციის მატერიალურ-ტექნიკური ბაზის განახლება.</t>
  </si>
  <si>
    <t>გაეროს ბავშთა ფონდსა (UNICEF) და ქ. ბათუმის მერიას შორის 2020 წლის 3 დეკემბერს გაფორმებული იქნა ურთიერთთანამშრომლობის მემორანდუმი ,,ბავშვზე მორგებული ქალაქის ინიციატივის“ (CFCI)  ფარგლებში, შემუშავებული იქნა ქ. ბათუმის ,,ბავშვზე მორგებული ქალაქის ინიციატივის განხორციელების 2022-2025 წლების სტრატეგია’’, რომელიც დამტკიცებული იქნა ქ. ბათუმის მუნიციპალიტეტის საკრებულოს 2022 წლის 29 სექტემბრის განკარგულებით და ქ. ბათუმს მიენიჭა „ბავშვზე მორგებული ქალაქის“ კანდიდატის სტატუსი. 
მიუხედავად იმისა, ბოლო წლების განმავლობაში საქართველოს ხელისუფლებისა და ბათუმის მუნიციპალიტეტის მერიის მიერ, ბავშვებში სიღარიბის დასაძლევად, ასევე, მათი ოჯახების გაძლიერების მიზნით, არაერთი მნიშვნელოვანი ღონისძიება განხორციელდა, ზოგიერთი მოწყვლადი კატეგორიის მქონე (მარტოხელა მშობლები, მრავალშვილიანი ოჯახები, ძალადობის მსხვეპლი, რეინტეგრირებული, შშმ პირების  და სხვა ოჯახების) ბავშვები დამატებით საჭიროებენ სხვადასხვა სახის დახმარებას,
როგორც განათლების, ასევე ფსიქოლოგიური კუთხით და ამ მიმართულებით მნიშვნელოვანია დღის ცენტრების ფუნქციონირება და მათი ხელშეწყობა მუნიციპალიტეტის მხრიდან. განსაკუთრებულ მხარდაჭერას საჭიროებენ 6-დან 16 წლამდე ბავშვები, რომლებიც ხშირად უმეთვალყუროდ რჩებიან, რაც იწვევს მათ ქუჩაში გასვლას.
სხვადასხვა ორგანიზაციების მიერ ჩატარებული კვლევები აჩვენებს, რომ მეოთხე დონეზე მიწოდებულ დროულ პრევენციას აქვს ყველაზე დიდი შედეგი. დაახლოებით 100-დან 79%-ში ბავშვის ქუჩიდან მოწყვეტა და მისი რესოციალიზაცია არის შესაძლებელი, რაც შესაძლებელია განხორციელებული იქნას დღის ცენტრის პირობებში.
ქვეპროგრამით გათვალისწინებული ღონისძიებები გულისხმობს შაბათი-კვირის გარდა მინიმუმ 6-საათიან დღიურ მომსახურებას, მათ შორის: ბენეფიციართა საჭიროებების (შემეცნებითი, ფიზიკური და ქცევით-ემოციური) დადგენას, შესაბამისი ინტერვენციების დაგეგმვა/განხორციელებას, რეფერირებას შესაბამის უწყებებში; ბენეფიციარების საყოფაცხოვრებო და პროფესიული უნარ-ჩვევების განვითარება/ხელშეწყობას; ბენეფიციართა კულტურულ და სპორტულ ღონისძიებებში ჩართვის უზრუნველყოფას; ბენეფიციარების დღის სწორად დაგეგმვას, ეფექტიანი კომუნიკაციის უნარების შესწავლას, გადაწყვეტილების მიღების პროცესში მონაწილეობის და კონფლიქტის არაძალადობრივი გზით მოგვარების უნარ-ჩვევების სწავლებას; საჭიროების შემთხვევაში პირველადი სამედიცინო დახმარებისა და ფსიქოლოგიური მომსახურების ორგანიზებას.
ქვეპროგრამა გათვალისწინებულია 80 ბენეფიციარზე, ორჯერადი კვებით, რომელთაგან ერთ-ერთი უნდა იყოს სამკომპონენტიანი სადილი და ერთი საუზმე/ სამხარი. 
დღის ცენტრი დაიყოფა ასაკობრივ ჯგუფებად 6-დან 12 წლამდე და 12-დან 16 წლამდე მოზარდები. 
მომსახურეობა განხორციელდება მულტიდისციპლინარული გუნდის მიერ, რომელშიც შედიან პედაგოგი, ფსიქოლოგი, ქცევის თერაპევტი, პედაგოგის დამხმარე და სოციალური მუშაკი. მათ მიერ თითოეულ ბავშვზე შემუშავებული იქნება 6 თვიანი ინდივიდუალური განვითარების გეგმა, რომელიც 6 თვის შემდეგ გადაისინჯება. 
ქვეპროგრამის ფარგლებში ასევე გათვალისწინებულია მშობელთა ჩართულობის ხელშეწყობა ბავშვის აღზრდის პროცესში, რაც გულისხმობს საჭიროების შემთხვევაში ფსიქოლოგიურ დახმარებასა და ადვოკატირებას, რადგან გარემო ბავშვებისათვის აღიქმება სანდოდ, როდესაც მშობელი აქტიურადაა ჩართული ბავშვის აღზრდის პროცესში.</t>
  </si>
  <si>
    <t>მოზარდებში განხორციელებულია დამოუკიდებელი ცხოვრებისთვის საჭირო უნარ-ჩვევების, ფსიქო-სოციალური ფუნქციების, საგანმანათლებლო აქტივობების და ინკლუზიური განვითარების ხელშეწყობა;
მშობლების ფსიქო-ემოციური მდგომარეობის სტაბილიზაცია და იმ უნარების განვითარება, რომლებიც მათ ხელს შეუწყობს პრობლემებთან გამკლავებასა და დამოუკიდებელი ცხოვრებისთვის საჭირო უნარ-ჩვევების გამომუშავებაში</t>
  </si>
  <si>
    <t>ქვეპროგრამა ითვალისწინებს უპოვარ და უსახლკარო პირთა უზრუნველყოფას დროებითი მუნიციპალური თავშესაფრით, რაც გულისხმობს ყოველდღიურად 70 ბენეფიციარისათვის ღამის გათევას, ორჯერადი კვებით (საუზმე, ვახშამი) და სუფთა ტანსაცმლით უზრუნველყოფას, პირველად სამედიცინო დახმარებას, საჭიროების შემთხვევაში სამედიცინო მომსახურებას შესაბამის სამედიცინო დაწესებულებაში; აღდგომისა და ახალი წლის დღეებში სადღესასწაულო ნობათის გაცემას.
დროებითი ღამის თავშესაფარში სერვისით სარგებლობა შესაძლებელია 19.00 საათიდან დილის 10 საათამდე, რის შემდეგაც ბენეფიციარმა უნდა დატოვოს თავშესაფრის ტერიტორია, უამინდობის, ასევე ბენეფიციარის ჯანმრთელობის მდგომარეობის გამო, ადმინისტრაციის გადაწყვეტილებით, დასაშვებია თავშესაფარში ყოფნის პერიოდის გახანგრძლივება. 
დროებითი მუნიციპალური თავშესაფრის ბენეფიციარია საქართველოს მოქალაქე, რომელიც რეგისტრირებულია ქალაქ ბათუმში. მოქალაქე, რომელიც არ არის რეგისტრირებული ქალაქ ბათუმში, შესაძლებელია მიღებული იქნას თავშესაფარში არაუმეტეს 20 დღით, ხოლო მისი განმეორებითი მიღება შეიზღუდება გასვლის დღიდან 10 დღის განმავლობაში. თავშესაფარში შესაძლებელია მიღებული იქნას უცხოელი, ან საქართველოს მოქალაქეობის არმქონე პირი, მისთვის ბინადრობის ნებართვით მინიჭებული უფლებრივი მდგომარეობის გათვალისწინებით. ასევე, თავშესაფარში შესაძლებელია მიღებული იქნას არაიდენტიფიცირებული პირი მის იდენტიფიკაციამდე და აქედან გამომდინარე, თავშესაფრის ადმინისტრაციის მიერ შესაბამისი გადაწყვეტილების მიღებამდე.
თავშესაფარში ბენეფიციარის მიღება ხორციელდება საპატრულო პოლიციის მიმართვის საფუძველზე.                                                                                                                                                                                                                                                                                                                             გარდა ზემოაღნიშნული მომსახურებისა, ქვეპროგრამის ფარგლებში დაგეგმილია სტიქიითა და სხვა გაუთვალისწინებელი მიზეზებით ღია ცის ქვეშ დარჩენილი ოჯახების დროებითი განთავსება მუნიციპალურ საცხოვრისში, რაც გულისხმობს სხვადასხვა მიზეზით ღია ცის ქვეშ დარჩენილი ოჯახების დროებით განთავსებას 12 მუნიციპალურ სამანევრო ბინაში (50 საწოლი) და მათ უზრუნველყოფას ორჯერადი კვებით. სამანევრო ბინებში ოჯახების განთავსების გადაწყვეტილებას იღებს „ქ. ბათუმის მუნიციპალიტეტის ტერიტორიაზე მდებარე ავარიული სახლებისა და სტიქიური მოვლენების შედეგად დაზარალებული ოჯახების მდგომარეობის შემსწავლელი მუდმივმოქმედი საბჭო". ოჯახის მუნიციპალურ საცხოვრისში ყოფნის ვადა განისაზღვრება მერიის შესაბამისი უფლებამოსილი ორგანოს მიერ მათი დროებით ან მუდმივ საცხოვრისში გადაყვანამდე, არაუმეტეს 7 დღისა.  
საქართველოს კანონის „ბავშის უფლებათა კოდექსი"-ს შესაბამისად, ქვეპროგრამის ფარგლებში განხორციელდება საქმიანობა, რომელიც მოიცავს ბავშვის უფლებების დაცვისა და მხარდაჭერის მომსახურების სფეროებს. ბავშვის უფლებების დაცვისა და მხარდაჭერის ღონისძიებებს ახორციელებს ბავშვის უფლებების დაცვისა და მხარდაჭერის განყოფილება, რომელიც დაკომპლექტებულია განყოფილების უფროსის, ბავშვისა და ოჯახის სოციალური მუშაკების, ბავშვის ფსიქოლოგის, ბავშვის ჯანმრთელობის მართვის სპეციალისტის, ბავშვის დაცვის ინსპექტორისა და ბავშვის სამართლებრივი დახმარების სპეციალისტისაგან. ქვეპროგრამის სამიზნე ჯგუფს წარმოადგენს: ბავშვები 0-18 წლამდე, დისფუნქციური ბავშვიანი ოჯახები, სოციალურად დაუცველი ბავშვიანი ოჯახები, კრიზისულ მდგომარეობაში მყოფი ბავშვიანი ოჯახები, ბავშვები ჯანმრთელობის პრობლემებით, შეზღუდული შესაძლებლობების მქონე ბავშვები. აღნიშნული ღონისძიების განხორციელების ძირიტადი მიზანია სამიზნე ჯგუფების საფრთხის პრევენცია, დროული იდენტიფიცირება; ადრეული დახმარება და რისკის შემცირება.</t>
  </si>
  <si>
    <t>შშმ პირებისათვის პერსონალური ასისტენტების მიერ სპეციალიზებული და რეგულარული  ასისტირების სერვისის მიწოდება</t>
  </si>
  <si>
    <r>
      <rPr>
        <b/>
        <sz val="9"/>
        <rFont val="Sylfaen"/>
        <family val="1"/>
      </rPr>
      <t xml:space="preserve">პერსონალური ასისტენტების მიერ სერვისის მიწოდება - </t>
    </r>
    <r>
      <rPr>
        <sz val="9"/>
        <rFont val="Sylfaen"/>
        <family val="1"/>
      </rPr>
      <t xml:space="preserve">
შშმ პირებისათვის პერსონალური ასისტირების მომსახურეობა განხორციელდება ვაუჩერის საფუძველზე. ვაუჩერის ფორმა, მიმოქცევისა და ანგარიშსწორების პირობები მტკიცდება ქ. ბათუმის მუნიციპალიტეტის მერის ინდივიდუალური ადმინისტრაციულ-სამართლებრივი აქტით. 
</t>
    </r>
    <r>
      <rPr>
        <b/>
        <sz val="9"/>
        <rFont val="Sylfaen"/>
        <family val="1"/>
      </rPr>
      <t xml:space="preserve">დახმარების მიმღებმა პირმა უნდა წარმოადგინოს შემდეგი დოკუმენტაცია: </t>
    </r>
    <r>
      <rPr>
        <sz val="9"/>
        <rFont val="Sylfaen"/>
        <family val="1"/>
      </rPr>
      <t xml:space="preserve">
1. განცხადება; 
2. პირადობის მოწმობის ქსეროასლი; 
3. ამონაწერი სოციალური მომსახურების სააგენტოდან შშმ სტატუსის /სარეიტინგო ქულების შესახებ ასეთის არსებობის შემთხვევაში; 
4. ფორმა 100-4ა.
ღონისძიებაში იანვრის თვიდან ჩართული არიან 2024 წლის 31 დეკემბრის მდგომარეობით „პერსონალური ასისტენტის მომსახურებით უზრუნველყოფის ქვეპროგრამის“ მომსახურებაში ჩარიცხული და მომსახურების მიმღები მოსარგებლეები, ზრუნვის სააგენტოდან მოწოდებული სიების საფუძველზე.</t>
    </r>
  </si>
  <si>
    <r>
      <t xml:space="preserve">ქვეპროგრამით ისარგებლებენ  ბენეფიციარები, რომლებიც რეგისტრირებული არიან ქალაქ ბათუმში 2025 წლის პირველ იანვრამდე.  
</t>
    </r>
    <r>
      <rPr>
        <b/>
        <sz val="9"/>
        <rFont val="Sylfaen"/>
        <family val="1"/>
      </rPr>
      <t>მკვეთრად შეზღუდული სტატუსის მქონე უსინათლო პირების გამცილებლით მომსახურება</t>
    </r>
    <r>
      <rPr>
        <sz val="9"/>
        <rFont val="Sylfaen"/>
        <family val="1"/>
      </rPr>
      <t xml:space="preserve"> -  
</t>
    </r>
    <r>
      <rPr>
        <b/>
        <sz val="9"/>
        <rFont val="Sylfaen"/>
        <family val="1"/>
      </rPr>
      <t>მომსახურების მიღების მსურველთათვის საჭირო დოკუმენტაცია და პირობები:</t>
    </r>
    <r>
      <rPr>
        <sz val="9"/>
        <rFont val="Sylfaen"/>
        <family val="1"/>
      </rPr>
      <t xml:space="preserve">
1. განცხადება;
2. პირადობის მოწმობის ქსეროასლი;
3. ამონაწერი სოციალური მომსახურების სააგენტოდან მკვეთრად შეზღუდული შესაძლებლობის სტატუსის წარმოდგენით. 
</t>
    </r>
    <r>
      <rPr>
        <b/>
        <sz val="9"/>
        <rFont val="Sylfaen"/>
        <family val="1"/>
      </rPr>
      <t>გამცილებლის პოზიციაზე დასაქმების მსურველთა მიერ წარმოსადგენი დოკუმენტაცია:</t>
    </r>
    <r>
      <rPr>
        <sz val="9"/>
        <rFont val="Sylfaen"/>
        <family val="1"/>
      </rPr>
      <t xml:space="preserve">
1. პირადობის მოწმობის ქსეროასლი;
2. ცნობა ჯანმრთელობის მდგომარეობის შესახებ;
3. საბანკო რეკვიზიტი.
ასისტენტი აწარმოებს გადაადგილების ტაბელს, რომელშიც მითითებული იქნება მომსახურების ადგილი, დრო, ბენეფიციარის სახელი და გვარი, მისამართი, ტელეფონი, დანიშნულება და ბენეფიციარის ხელმოწერა. ასისტენტებთან გაფორმდება შრომითი ხელშეკრულებები, ხოლო თანხა გადაერიცხებათ პირად ანგარიშზე წარმოდგენილი ტაბელის შესაბამისად. ასისტენტი შეიძლება იყოს პირი, რომელსაც გავლილი ექნება შესაბამისი ტრენინგი. </t>
    </r>
  </si>
  <si>
    <t>მგზავრობის რაოდენობა</t>
  </si>
  <si>
    <t>-</t>
  </si>
  <si>
    <t>განსაზღვრული სოციალური კატეგორიების პირთა (ბათუმის ხანდაზმულთა სოციალური ცენტრის ბენეფიციარები, ვეტერანებისა და მათთან გათანაბრებული პირები, 0-70 000 ქულის მქონე ბენეფიციარები, შშმ პირები, შშმ სტატუსის ბავშვები, მოსწავლეები, მასწავლებლები, ზოგადსაგანმანათლებლო დაწესებულებების თანამშრომლები და სკოლების მანდატურები,  საბავშვო ბაღების და ბიბლიოთეკების თანამშრომლები, პროფესიული კოლეჯის "Black sea" თანამშრომლები, სოციალური სააგენტოს თანამშრომლები, სტუდენტები, იძულებით გადაადგილებული პირები, ასაკით პენსიონერები, მარტოხელა მშობლები და სსიპ სახელმწიფო ზრუნვისა და ტრეფიკინგის მსხვერპლთა აჭარის რეგიონალური ცენტრის ბენეფიციარები) M2 კლასის საქალაქო სამგზავრო მიკროავტობუსით 100 %-იანი შეღავათით (უფასო) მგზავრობა</t>
  </si>
  <si>
    <t>M2 კლასის საქალაქო სამგზავრო მიკროავტობუსით მგზავრობის რაოდენობა</t>
  </si>
  <si>
    <t>2024 წლის 31 დეკემბრის საქართველოს მთავრობის N495 დადგენილებით დამტკიცებული იქნა  "სოციალური რეაბილიტაციისა და ბავშვზე ზრუნვის 2025 წლის სახელმწიფო პროგრამა",რომელიც განსაზღვრავს "პერსონალური ასისტენტის მომსახურებით უზრუნველყოფის ქვეპროგრამის" განხორციელების უფლების დელეგირების საკითხს მუნიციპალიტეტებისათვის. ქვეპროგრამის ბენეფიციარებს განეკუთვნება  18 წლის და მეტი ასაკის მკვეთრად ან მნიშვნელოვნად გამოხატული შშმ სტატუსის მქონე პირები, რომელთაც ესაჭიროებათ პერსონალური ასისტენტის მომსახურება.  მომსახურების მიღების მსურველი პირი ქვეპროგრამაში ერთვება მხოლოდ  სამინისტროს მიერ  პერსონალური ასისტირების საჭიროების შეფასების ჩატარებაზე უფლებამოსილი სამედიცინო დაწესებულების ( ქ. ბათუმის  #1 პოლიკლინიკა) დასკვნის საფუძველზე . ღონისძიებაში  ჩასართავად  მოსარგებლის შეფასებას აწარმოებს სამინისტროს მიერ უფლებამოსილი სამედიცინო დაწესებულება ( ქ. ბათუმის  #1 პოლიკლინიკა) , რომელიც სტანდარტიზებული კითხვარის და დასკვნის საფუძველზე განსაზღვრავს მოსარგებლის პერსონალური ასისტირების საჭიროებას. პერსონალური ასისტირების მოცულობა განისაზღვრება მოსარგებლის ინდივიდუალური საჭიროებისა მიხედვით შეფასების დროს, რომელიც იყოფა ორ კატეგორიად: რეგულარული და სპეციალიზებული. რეგულარული ასისტირების საჭიროების მქონე პირის შემთხვევაში, მომსახურება ითვალისწინებს თვეში არაუმეტეს 60 საათს, ხოლო სპეციალიზებული ასისტირების საჭიროების მქონე პირის შემთხვევაში, თვეში არაუმეტეს 120 საათს. მომსახურებისთვის გათვალისწინებული დაფინანსების ოდენობა რეგულარული ასისტირების შემთხვევაში შეადგენს თვეში 720 ლარს (ერთი საათი 12 ლარი) , ხოლო სპეციალიზებული ასისტირების შემთხვევაში – თვეში 1 560 ლარს (ერთი საათი 13 ლარი).ქ. ბათუმის მუნიციპალიტეტის ფარგლებში შშმ პირთა ასისტირებას ახორციელებს სამინისტროს მიერ დარეგისტრირებული ორგანიზაცია ა(ა)იპ ,, ბათუმის დამოუკიდებელი ცხოვრების ცენტრი''. ამ ქვეპროგრამის პირველი ღონისძიება - შშმ პირებისათვის (20 პირი) პერსონალური ასისტენტების მიერ რეგულარული ასისტირების  სერვისის მიწოდება,  რომელიც დამტკიცებული იქნა 2024 წლის ნოემბერში ქ. ბათუმის საკრებულოს მიერ,  შეჩერებულია 2025 წლის პირველი იანვრიდან  2024 წლის 31 დეკემბრის საქართველოს მთავრობის N495 დადგენილებით დამტკიცებული "სოციალური რეაბილიტაციისა და ბავშვზე ზრუნვის 2025 წლის სახელმწიფო პროგრამის'' შესაბამისად, რომლის 1.6 დანართი ( პერსონალური ასისტენტის მომსახურებით უზრუნველყოფის ქვეპროგრამა)  ითვალისწინებს პერსონალური ასისტენტის მომსახურების დელეგირებული უფლებამოსილების გადაცემას ქ. ბათუმის  მუნიციპალიტეტისათვის 2025 წლის პირველი იანვრიდან.</t>
  </si>
  <si>
    <t>შშმ პირთა მშობლების ფსიქოლოგიური დახმარების ღონისძიება (80 პირი)</t>
  </si>
  <si>
    <t xml:space="preserve">1. ქვეპროგრამის პირველი ღონისძიებით ისარგებლებენ ქ. ბათუმში რეგისტრირებული მარტოხელა მშობლების, ძალადობის მსხვერპლი და რეინტეგრირებული ოჯახების, შშმ პირთა ოჯახების (ორივე ან ერთ-ერთი მშობელი არის შშმ პირი), ასევე იმ მოწყვლადი კატეგორიის ოჯახების ბავშვები, რომლებიც არ მონაწილეობენ სხვა პროგრამებში. 
2. ჩარიცხვა განხორციელდება ქ. ბათუმის ბავშვთა უფლებების დაცვისა და მხარდაჭერის განყოფილების სოციალური მუშაკის რეკომენდაციის საფუძველზე.
3. დღის ცენტრის ერთ ბენეფიციარზე გამოყოფილი თანხა შეადგენს დღეში 18 ლარს; 
4. ქვეპროგრამით გათვალისწინებული მომსახურება განხორციელდება ვაუჩერის საშუალებით. ვაუჩერის გაცემის, გამოყენების წესს განსაზღვრავს ქ. ბათუმის მუნიციპალიტეტის მერი. </t>
  </si>
  <si>
    <t>გარე ბანერი</t>
  </si>
  <si>
    <t>გაზქურა</t>
  </si>
  <si>
    <t>წყლის გამაცხელებელი (ბოილერი)</t>
  </si>
  <si>
    <t>გაზის გამათბობელი</t>
  </si>
  <si>
    <t>წყლის გამათბობლის ძრავი</t>
  </si>
  <si>
    <t>15% - მომართვიანობის ცვლილება</t>
  </si>
  <si>
    <t>სოციალურად დაუცველი 0-დან 70000 ქულის მქონე პირების, მასწავლებლების, მოსწავლეების, სტუდენტების, შშმ პირების, პენსიონერების, ვეტერანებისა და მათთან გათანაბრებული პირების მუნიციპალურ ტრანსპორტზე მომსახურების ხელმისაწვდომობის გაზრდისა და სოციალური მდგომარეობის გაუმჯობესების მიზნით,  ქ. ბათუმის მუნიციპალიტეტის მერიამ შეიმუშავა საქალაქო ტრანსპორტით სარგებლობაზე მგზავრობის საფასურის სუბსიდირების ქვეპროგრამა, განსაზღვრული სოციალური კატეგორიების პირთა (ბათუმის ხანდაზმულთა სოციალური ცენტრის ბენეფიციარები, ვეტერანებისა და მათთან გათანაბრებული პირები, 0-70 000 ქულის მქონე ბენეფიციარები, შშმ პირები, შშმ სტატუსის ბავშვები, მოსწავლეები, მასწავლებლები, ზოგადსაგანმანათლებლო დაწესებულებების თანამშრომლები და სკოლების მანდატურები,  საბავშვო ბაღების და ბიბლიოთეკების თანამშრომლები, პროფესიული კოლეჯის "Black sea" თანამშრომლები, სოციალური სააგენტოს თანამშრომლები, სტუდენტები, იძულებით გადაადგილებული პირები, ასაკით პენსიონერები, მარტოხელა მშობლები და სსიპ სახელმწიფო ზრუნვისა და ტრეფიკინგის მსხვერპლთა აჭარის რეგიონალური ცენტრის ბენეფიციარები) მუნიციპალური ტრანსპორტით მგზავრობის საფასურის 100%-ით სუბსიდირების მიზნით. ქვეპროგრამის ფარგლებში დაფინანსება განხორციელდება M3 კლასის საქალაქო სამგზავრო ავტობუსით ქალაქის ფარგლებში მგზავრობის საფასურის კომპენსაციის მიზნით.
ასევე ქ. ბათუმის მუნიციპალიტეტის მიერ შეძენილი იქნა „FORD TRANSIT”-ის მარკის M2 კატეგორიის  მიკროავტობუსები, რომლებიც ახალ სამარშრუტო ხაზებზე (#20, 21, 22, 26, 26ა, 27, 33) მოემსახურებიან იგივე სოციალური კატეგორიის პირებს უფასოდ. M3 კლასის საქალაქო სამგზავრო ავტობუსით მგზავრობის ღირებულება დაფინანსდება 0.3 ლარით, ხოლო „FORD TRANSIT”-ის მარკის M2 კატეგორიის მიკროავტობუსებით მგზავრობის ღირებულება 0.5 ლარით.</t>
  </si>
  <si>
    <t xml:space="preserve">მუნიციპალური ტრანსპორტით მგზავრობის საფასურის სუბსიდირება განხორციელდება „ქალაქ ბათუმის მუნიციპალიტეტის ტერიტორიაზე ეკონომიკის რეგულირებად სფეროებად განსაზღვრული ავტობუსებით (M3 კატეგორია) მგზავრთა ადგილობრივი საქალაქო რეგულარული სამგზავრო გადაყვანისას სამგზავრო ტარიფების, ფასდაკლების სისტემის და მოქალაქეთა ცალკეული კატეგორიების შეღავათიანი მგზავრობის შესახებ" ქალაქ ბათუმის მუნიციპალიტეტის საკრებულოს 2021 წლის 24 მაისისს №8 დადგენილებით განსაზღვრული პირობებისა და 2025 წლის 29 იანვრის ქ. ბათუმის საკრებულოს # 3 დადგენილების  შესაბამისად. </t>
  </si>
  <si>
    <t>ქვეპროგრამა შედგება ორი ღონისძიებისაგან: 1. შეზღუდული შესაძლებლობების მქონე პირები, კერძოდ  კი მკვეთრად შეზღუდული სტატუსის მქონე უსინათლოები უმეტესად ვერ ახერხებენ საზოგადოებრივ ცხოვრებაში აქტიურ ჩართვას. ამ ადამიანებს ხშირად სჭირდებათ სამედიცინო, საყოფაცხოვრებო, სახელმწიფო და სხვა დაწესებულებებში ვიზიტი, რისთვისაც სჭირდებათ დამხმარე პირების (გამცილებლების) მომსახურება. ქვეპროგრამა ითვალისწინებს მკვეთრად შეზღუდული სტატუსის მქონე უსინათლოთა გადაადგილების მიზნით გამცილებლის მომსახურების დაფინანსებას. ასევე ე.წ. ,, ამოსუნთქვის საშუალებას'', ოჯახის წევრებისათვის, რომელიც გულისხმობს გამცილებლების მიერ მომსახურეობის პერიოდში ნაწილობრივ სოციალური მუშაკის ფუნქციების შეთავსებას. საწყის ეტაპზე დაგეგმილია, რომ აღნიშნული სერვისით ისარგებლებს 36 ბენეფიციარი, რომელთაც მოემსახურება რვა ასისტენტი (გამცილებელი). ერთი ასისტენტი მოემსახურება 6 ბენეფიციარს და კვირაში თითოეულს 2-ჯერ ერთი საათის განმავლობაში გაუწევს დახმარებას. ერთი ვიზიტის მომსახურების საფასურია  12 ლარი. 2. შშმ პირთა უფლებების საერთაშორისო კონვენციის მე-19 მუხლის თანახმად უდიდესი მნიშვნელობა ენიჭება დამოუკიდებელი ცხოვრების პროცესში შშმ პირთა სრულყოფილ ჩართვას დამოუკიდებელი ცხოვრების ხარისხის გაუმჯობესებისა და საკუთარი ცხოვრების კონტროლის გაზრდის მიზნით, რაც შეიძლება მიღწეული იქნას პერსონალური ასისტენტის მომსახურებით, რომელიც  განსაზღვრულია  პერსონალური ასისტენტის სტანდარტით, რომელიც მიღებული იქნა საქართველოს ოკუპირებული ტერიტორიებიდან დევნილთა, შრომის, ჯანმრთელობისა და სოციალური დაცვის მინისტრის ბრძანება №01-13/ნ2022 წლის 18 თებერვლის საფუძველზე.</t>
  </si>
  <si>
    <r>
      <t>როგორც კვლევები ადასტურებს  შეზღუდული შესაძლებლობის მქონე პირების მშობლებს აქვთ მყიფე ფსიქო-ემოციური მდგომარეობა, დეპრესიის ნიშნები, რაც გამოწვეულია  შვილების ჯანმრთელობის მძიმე მდგომარეობით. დღეს ქვეყანაში არ არსებობს სერვისი, რომელიც შშმ ბავშვების მშობლებს ფსიქოლოგიურ დახმარებას შესთავაზებს . ხოლო  საერთაშორისო სტანდარტების თანახმად, შშმ ბავშვების მდგომარეობის გაუმჯობესების ერთ-ერთი მთავარი საფუძველი სწორედ მშობლების ფსიქო-ემოციური ჯანმრთელობაა. ამ მშობლების დახმარების მიზნით შემუშავებული იქნა შშმ პირთა მშობლების ფსიქოლოგიური დახმარების პროგრამა, რომლის ფარგლებში სამი თვის (12 კვირა) მანძილზე 80</t>
    </r>
    <r>
      <rPr>
        <sz val="10"/>
        <color rgb="FFFF0000"/>
        <rFont val="Sylfaen"/>
        <family val="1"/>
      </rPr>
      <t xml:space="preserve"> </t>
    </r>
    <r>
      <rPr>
        <sz val="9"/>
        <rFont val="Sylfaen"/>
        <family val="1"/>
      </rPr>
      <t>მშობელს, რომელსაც ჰყავს 18 წლამდე ასაკის შშმ პირი ჩაუტარდება ფსიქოლოგის შემდეგი მომსახურება; პირველადი კონსულტაცია, საჭიროებიდან გამომდინარე ინდივიდუალური გეგმის შემუშავება, ფსიქოთერაპია ინდივიდუალურად ან ჯგუფურად გარკვეული თერაპიების გამოყენებით საჭიროებიდან გამომდინარე. სრული კურსის ხანგრძლივობა შეადგენს 12 საათს (საშუალოდ კვირაში ერთხელ ერთი აკადემიური საათი).</t>
    </r>
  </si>
  <si>
    <t xml:space="preserve">1.' ქვეპროგრამის მეორე ღონისძიებით  ისარგებლებენ ქ. ბათუმში  2025 წლის პირველ იანვრამდე რეგისტრირებული შშმ პირთა ოჯახები, რომელთაც ყავთ 18 წლამდე ასაკის შშმ პირი.    
2. ერთი სეანსის ღირებულება  შეადგენს 40 ლარს/ერთი საათი, სრული კურსი შეადგენს 12 საათს.  
3. ქვეპროგრამით გათვალისწინებული მომსახურება განხორციელდება ვაუჩერის საშუალებით.
4. ვაუჩერის გაცემის, გამოყენების წესს განსაზღვრავს ქ. ბათუმის მუნიციპალიტეტის მერი.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</si>
</sst>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L_a_r_i_-;\-* #,##0.00\ _L_a_r_i_-;_-* &quot;-&quot;??\ _L_a_r_i_-;_-@_-"/>
    <numFmt numFmtId="165" formatCode="0.0"/>
  </numFmts>
  <fonts count="19" x14ac:knownFonts="1">
    <font>
      <sz val="11"/>
      <color theme="1"/>
      <name val="Calibri"/>
      <family val="2"/>
      <scheme val="minor"/>
    </font>
    <font>
      <sz val="10"/>
      <name val="Arial"/>
      <family val="2"/>
      <charset val="204"/>
    </font>
    <font>
      <sz val="11"/>
      <color theme="1"/>
      <name val="Calibri"/>
      <family val="2"/>
      <scheme val="minor"/>
    </font>
    <font>
      <sz val="9"/>
      <color theme="1"/>
      <name val="Sylfaen"/>
      <family val="1"/>
    </font>
    <font>
      <sz val="8"/>
      <color theme="1"/>
      <name val="Sylfaen"/>
      <family val="1"/>
    </font>
    <font>
      <b/>
      <sz val="9"/>
      <color theme="1"/>
      <name val="Sylfaen"/>
      <family val="1"/>
    </font>
    <font>
      <sz val="9"/>
      <name val="Sylfaen"/>
      <family val="1"/>
    </font>
    <font>
      <b/>
      <sz val="9"/>
      <color rgb="FF000099"/>
      <name val="Sylfaen"/>
      <family val="1"/>
    </font>
    <font>
      <b/>
      <sz val="8"/>
      <color rgb="FF000099"/>
      <name val="Sylfaen"/>
      <family val="1"/>
    </font>
    <font>
      <sz val="9"/>
      <color rgb="FFFF0000"/>
      <name val="Sylfaen"/>
      <family val="1"/>
    </font>
    <font>
      <b/>
      <sz val="9"/>
      <name val="Sylfaen"/>
      <family val="1"/>
    </font>
    <font>
      <sz val="9"/>
      <color rgb="FF000099"/>
      <name val="Sylfaen"/>
      <family val="1"/>
    </font>
    <font>
      <b/>
      <sz val="10"/>
      <color rgb="FF000099"/>
      <name val="Sylfaen"/>
      <family val="1"/>
    </font>
    <font>
      <sz val="10"/>
      <color rgb="FF000099"/>
      <name val="Sylfaen"/>
      <family val="1"/>
    </font>
    <font>
      <sz val="11"/>
      <color rgb="FFFF0000"/>
      <name val="Sylfaen"/>
      <family val="1"/>
    </font>
    <font>
      <b/>
      <sz val="9"/>
      <color rgb="FFFF0000"/>
      <name val="Sylfaen"/>
      <family val="1"/>
    </font>
    <font>
      <b/>
      <sz val="10"/>
      <name val="Sylfaen"/>
      <family val="1"/>
    </font>
    <font>
      <sz val="8"/>
      <name val="Sylfaen"/>
      <family val="1"/>
    </font>
    <font>
      <sz val="10"/>
      <color rgb="FFFF0000"/>
      <name val="Sylfaen"/>
      <family val="1"/>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s>
  <borders count="32">
    <border>
      <left/>
      <right/>
      <top/>
      <bottom/>
      <diagonal/>
    </border>
    <border>
      <left style="thin">
        <color theme="0" tint="-0.34998626667073579"/>
      </left>
      <right style="thin">
        <color theme="0" tint="-0.34998626667073579"/>
      </right>
      <top style="thin">
        <color theme="0" tint="-0.34998626667073579"/>
      </top>
      <bottom style="dashed">
        <color theme="0" tint="-0.24994659260841701"/>
      </bottom>
      <diagonal/>
    </border>
    <border>
      <left style="thin">
        <color theme="0" tint="-0.34998626667073579"/>
      </left>
      <right style="thin">
        <color theme="0" tint="-0.34998626667073579"/>
      </right>
      <top style="dashed">
        <color theme="0" tint="-0.24994659260841701"/>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14996795556505021"/>
      </bottom>
      <diagonal/>
    </border>
    <border>
      <left style="thin">
        <color theme="0" tint="-0.34998626667073579"/>
      </left>
      <right style="thin">
        <color theme="0" tint="-0.34998626667073579"/>
      </right>
      <top style="thin">
        <color theme="0" tint="-0.14996795556505021"/>
      </top>
      <bottom style="thin">
        <color theme="0" tint="-0.34998626667073579"/>
      </bottom>
      <diagonal/>
    </border>
    <border>
      <left style="thin">
        <color theme="0" tint="-0.34998626667073579"/>
      </left>
      <right style="thin">
        <color theme="0" tint="-0.34998626667073579"/>
      </right>
      <top style="thin">
        <color theme="0" tint="-0.14996795556505021"/>
      </top>
      <bottom style="thin">
        <color theme="0" tint="-0.14996795556505021"/>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14996795556505021"/>
      </bottom>
      <diagonal/>
    </border>
    <border>
      <left/>
      <right style="thin">
        <color theme="0" tint="-0.34998626667073579"/>
      </right>
      <top/>
      <bottom style="thin">
        <color theme="0" tint="-0.14996795556505021"/>
      </bottom>
      <diagonal/>
    </border>
    <border>
      <left style="thin">
        <color theme="0" tint="-0.34998626667073579"/>
      </left>
      <right/>
      <top style="thin">
        <color theme="0" tint="-0.14996795556505021"/>
      </top>
      <bottom style="thin">
        <color theme="0" tint="-0.14996795556505021"/>
      </bottom>
      <diagonal/>
    </border>
    <border>
      <left/>
      <right style="thin">
        <color theme="0" tint="-0.34998626667073579"/>
      </right>
      <top style="thin">
        <color theme="0" tint="-0.14996795556505021"/>
      </top>
      <bottom style="thin">
        <color theme="0" tint="-0.14996795556505021"/>
      </bottom>
      <diagonal/>
    </border>
    <border>
      <left style="thin">
        <color theme="0" tint="-0.34998626667073579"/>
      </left>
      <right/>
      <top style="thin">
        <color theme="0" tint="-0.14996795556505021"/>
      </top>
      <bottom style="thin">
        <color theme="0" tint="-0.34998626667073579"/>
      </bottom>
      <diagonal/>
    </border>
    <border>
      <left/>
      <right style="thin">
        <color theme="0" tint="-0.34998626667073579"/>
      </right>
      <top style="thin">
        <color theme="0" tint="-0.14996795556505021"/>
      </top>
      <bottom style="thin">
        <color theme="0" tint="-0.34998626667073579"/>
      </bottom>
      <diagonal/>
    </border>
    <border>
      <left/>
      <right/>
      <top style="thin">
        <color theme="0" tint="-0.34998626667073579"/>
      </top>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style="thin">
        <color theme="0" tint="-0.34998626667073579"/>
      </bottom>
      <diagonal/>
    </border>
    <border>
      <left style="thin">
        <color theme="0" tint="-0.34998626667073579"/>
      </left>
      <right/>
      <top style="dashed">
        <color theme="0" tint="-0.24994659260841701"/>
      </top>
      <bottom/>
      <diagonal/>
    </border>
    <border>
      <left/>
      <right style="thin">
        <color theme="0" tint="-0.34998626667073579"/>
      </right>
      <top style="dashed">
        <color theme="0" tint="-0.24994659260841701"/>
      </top>
      <bottom/>
      <diagonal/>
    </border>
    <border>
      <left style="thin">
        <color theme="0" tint="-0.34998626667073579"/>
      </left>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right style="thin">
        <color theme="0" tint="-0.34998626667073579"/>
      </right>
      <top style="dashed">
        <color theme="0" tint="-0.24994659260841701"/>
      </top>
      <bottom style="dashed">
        <color theme="0" tint="-0.24994659260841701"/>
      </bottom>
      <diagonal/>
    </border>
    <border>
      <left style="thin">
        <color theme="0" tint="-0.34998626667073579"/>
      </left>
      <right style="thin">
        <color theme="0" tint="-0.34998626667073579"/>
      </right>
      <top/>
      <bottom style="thin">
        <color theme="0" tint="-0.14996795556505021"/>
      </bottom>
      <diagonal/>
    </border>
    <border>
      <left style="thin">
        <color theme="0" tint="-0.34998626667073579"/>
      </left>
      <right/>
      <top style="thin">
        <color theme="0" tint="-0.14996795556505021"/>
      </top>
      <bottom/>
      <diagonal/>
    </border>
    <border>
      <left/>
      <right style="thin">
        <color theme="0" tint="-0.34998626667073579"/>
      </right>
      <top style="thin">
        <color theme="0" tint="-0.14996795556505021"/>
      </top>
      <bottom/>
      <diagonal/>
    </border>
    <border>
      <left style="thin">
        <color theme="0" tint="-0.34998626667073579"/>
      </left>
      <right/>
      <top style="thin">
        <color theme="0" tint="-0.34998626667073579"/>
      </top>
      <bottom style="thin">
        <color theme="0" tint="-0.14996795556505021"/>
      </bottom>
      <diagonal/>
    </border>
    <border>
      <left/>
      <right/>
      <top style="thin">
        <color theme="0" tint="-0.34998626667073579"/>
      </top>
      <bottom style="thin">
        <color theme="0" tint="-0.14996795556505021"/>
      </bottom>
      <diagonal/>
    </border>
    <border>
      <left/>
      <right style="thin">
        <color theme="0" tint="-0.34998626667073579"/>
      </right>
      <top style="thin">
        <color theme="0" tint="-0.34998626667073579"/>
      </top>
      <bottom style="thin">
        <color theme="0" tint="-0.14996795556505021"/>
      </bottom>
      <diagonal/>
    </border>
    <border>
      <left style="thin">
        <color indexed="64"/>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14996795556505021"/>
      </top>
      <bottom/>
      <diagonal/>
    </border>
  </borders>
  <cellStyleXfs count="10">
    <xf numFmtId="0" fontId="0" fillId="0" borderId="0"/>
    <xf numFmtId="164" fontId="2" fillId="0" borderId="0" applyFont="0" applyFill="0" applyBorder="0" applyAlignment="0" applyProtection="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cellStyleXfs>
  <cellXfs count="254">
    <xf numFmtId="0" fontId="0" fillId="0" borderId="0" xfId="0"/>
    <xf numFmtId="0" fontId="3" fillId="2" borderId="0" xfId="0" applyFont="1" applyFill="1" applyAlignment="1">
      <alignment horizontal="center" vertical="center" wrapText="1"/>
    </xf>
    <xf numFmtId="0" fontId="8" fillId="2" borderId="3" xfId="0" applyFont="1" applyFill="1" applyBorder="1" applyAlignment="1">
      <alignment horizontal="center" vertical="center" wrapText="1"/>
    </xf>
    <xf numFmtId="0" fontId="7" fillId="2" borderId="5" xfId="0" applyFont="1" applyFill="1" applyBorder="1" applyAlignment="1">
      <alignment horizontal="center" vertical="center" wrapText="1"/>
    </xf>
    <xf numFmtId="3" fontId="3" fillId="0" borderId="5" xfId="0" applyNumberFormat="1" applyFont="1" applyBorder="1" applyAlignment="1">
      <alignment horizontal="center" vertical="center" wrapText="1"/>
    </xf>
    <xf numFmtId="0" fontId="6" fillId="2" borderId="5" xfId="0" applyFont="1" applyFill="1" applyBorder="1" applyAlignment="1">
      <alignment horizontal="center" vertical="center" wrapText="1"/>
    </xf>
    <xf numFmtId="3" fontId="5" fillId="2" borderId="4" xfId="0" quotePrefix="1" applyNumberFormat="1" applyFont="1" applyFill="1" applyBorder="1" applyAlignment="1">
      <alignment horizontal="center" vertical="center" wrapText="1"/>
    </xf>
    <xf numFmtId="3" fontId="6" fillId="2" borderId="4" xfId="1"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3" fontId="3" fillId="2" borderId="5" xfId="0" quotePrefix="1" applyNumberFormat="1"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0" xfId="0" applyFont="1" applyFill="1" applyAlignment="1">
      <alignment horizontal="center" vertical="center" wrapText="1"/>
    </xf>
    <xf numFmtId="3" fontId="5" fillId="2" borderId="5" xfId="0" quotePrefix="1" applyNumberFormat="1" applyFont="1" applyFill="1" applyBorder="1" applyAlignment="1">
      <alignment horizontal="center" vertical="center" wrapText="1"/>
    </xf>
    <xf numFmtId="0" fontId="6" fillId="2" borderId="24" xfId="0" applyFont="1" applyFill="1" applyBorder="1" applyAlignment="1">
      <alignment horizontal="center" vertical="center" wrapText="1"/>
    </xf>
    <xf numFmtId="1" fontId="6" fillId="2" borderId="5" xfId="0" applyNumberFormat="1" applyFont="1" applyFill="1" applyBorder="1" applyAlignment="1">
      <alignment horizontal="center" vertical="center" wrapText="1"/>
    </xf>
    <xf numFmtId="0" fontId="7" fillId="2" borderId="3" xfId="0" applyFont="1" applyFill="1" applyBorder="1" applyAlignment="1">
      <alignment horizontal="center" vertical="center" wrapText="1"/>
    </xf>
    <xf numFmtId="0" fontId="6" fillId="2" borderId="23" xfId="0" applyFont="1" applyFill="1" applyBorder="1" applyAlignment="1">
      <alignment vertical="center" wrapText="1"/>
    </xf>
    <xf numFmtId="0" fontId="11" fillId="2" borderId="24" xfId="0" applyFont="1" applyFill="1" applyBorder="1" applyAlignment="1">
      <alignment horizontal="center" vertical="center" wrapText="1"/>
    </xf>
    <xf numFmtId="0" fontId="10" fillId="2" borderId="5" xfId="0" applyFont="1" applyFill="1" applyBorder="1" applyAlignment="1">
      <alignment horizontal="center" vertical="center" wrapText="1"/>
    </xf>
    <xf numFmtId="1" fontId="10" fillId="2" borderId="5" xfId="0" applyNumberFormat="1" applyFont="1" applyFill="1" applyBorder="1" applyAlignment="1">
      <alignment horizontal="center" vertical="center" wrapText="1"/>
    </xf>
    <xf numFmtId="0" fontId="13" fillId="2" borderId="0" xfId="0" applyFont="1" applyFill="1" applyAlignment="1">
      <alignment horizontal="center" vertical="center" wrapText="1"/>
    </xf>
    <xf numFmtId="9" fontId="3" fillId="0" borderId="5" xfId="9" applyFont="1" applyFill="1" applyBorder="1" applyAlignment="1">
      <alignment horizontal="center" vertical="center" wrapText="1"/>
    </xf>
    <xf numFmtId="3" fontId="3" fillId="2" borderId="5" xfId="0" applyNumberFormat="1" applyFont="1" applyFill="1" applyBorder="1" applyAlignment="1">
      <alignment horizontal="center" vertical="center" wrapText="1"/>
    </xf>
    <xf numFmtId="3" fontId="3" fillId="2" borderId="0" xfId="0" applyNumberFormat="1" applyFont="1" applyFill="1" applyAlignment="1">
      <alignment horizontal="center" vertical="center" wrapText="1"/>
    </xf>
    <xf numFmtId="0" fontId="14" fillId="2" borderId="0" xfId="0" applyFont="1" applyFill="1" applyAlignment="1">
      <alignment horizontal="center" vertical="center" wrapText="1"/>
    </xf>
    <xf numFmtId="0" fontId="3" fillId="2" borderId="0" xfId="3" applyFont="1" applyFill="1" applyAlignment="1">
      <alignment horizontal="center" vertical="center" wrapText="1"/>
    </xf>
    <xf numFmtId="0" fontId="7" fillId="2" borderId="24" xfId="0" applyFont="1" applyFill="1" applyBorder="1" applyAlignment="1">
      <alignment horizontal="center" vertical="center" wrapText="1"/>
    </xf>
    <xf numFmtId="1" fontId="3" fillId="2" borderId="5" xfId="0" applyNumberFormat="1" applyFont="1" applyFill="1" applyBorder="1" applyAlignment="1">
      <alignment horizontal="center" vertical="center" wrapText="1"/>
    </xf>
    <xf numFmtId="3" fontId="5"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3" fontId="3" fillId="2" borderId="25" xfId="0" quotePrefix="1" applyNumberFormat="1"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0" xfId="0" applyFont="1" applyFill="1" applyAlignment="1">
      <alignment horizontal="center" vertical="center" wrapText="1"/>
    </xf>
    <xf numFmtId="0" fontId="7" fillId="2" borderId="5" xfId="0" applyFont="1" applyFill="1" applyBorder="1" applyAlignment="1">
      <alignment horizontal="center" vertical="center" wrapText="1"/>
    </xf>
    <xf numFmtId="0" fontId="3" fillId="2" borderId="0" xfId="0" applyFont="1" applyFill="1" applyAlignment="1">
      <alignment horizontal="center" vertical="center" wrapText="1"/>
    </xf>
    <xf numFmtId="0" fontId="9" fillId="2" borderId="0" xfId="0" applyFont="1" applyFill="1" applyAlignment="1">
      <alignment horizontal="center" vertical="center" wrapText="1"/>
    </xf>
    <xf numFmtId="0" fontId="15" fillId="2" borderId="0" xfId="0" applyFont="1" applyFill="1" applyAlignment="1">
      <alignment horizontal="center" vertical="center" wrapText="1"/>
    </xf>
    <xf numFmtId="0" fontId="3" fillId="2" borderId="0" xfId="0" applyFont="1" applyFill="1" applyAlignment="1">
      <alignment horizontal="center" vertical="center" wrapText="1"/>
    </xf>
    <xf numFmtId="0" fontId="7" fillId="2" borderId="19"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9" fillId="2" borderId="0" xfId="0" applyFont="1" applyFill="1" applyAlignment="1">
      <alignment horizontal="left" vertical="top" wrapText="1"/>
    </xf>
    <xf numFmtId="0" fontId="3" fillId="2" borderId="0" xfId="0" applyFont="1" applyFill="1" applyAlignment="1">
      <alignment horizontal="left" vertical="center" wrapText="1"/>
    </xf>
    <xf numFmtId="9" fontId="3" fillId="2" borderId="5" xfId="9" applyFont="1" applyFill="1" applyBorder="1" applyAlignment="1">
      <alignment horizontal="center" vertical="center" wrapText="1"/>
    </xf>
    <xf numFmtId="0" fontId="3" fillId="2" borderId="0" xfId="0" applyFont="1" applyFill="1" applyAlignment="1">
      <alignment horizontal="center" vertical="center" wrapText="1"/>
    </xf>
    <xf numFmtId="3" fontId="6" fillId="0" borderId="4" xfId="1" applyNumberFormat="1" applyFont="1" applyFill="1" applyBorder="1" applyAlignment="1">
      <alignment horizontal="center" vertical="center" wrapText="1"/>
    </xf>
    <xf numFmtId="0" fontId="3" fillId="2" borderId="0" xfId="0" applyFont="1" applyFill="1" applyAlignment="1">
      <alignment horizontal="center" vertical="center" wrapText="1"/>
    </xf>
    <xf numFmtId="0" fontId="6" fillId="0" borderId="5" xfId="0" applyFont="1" applyFill="1" applyBorder="1" applyAlignment="1">
      <alignment horizontal="center" vertical="center" wrapText="1"/>
    </xf>
    <xf numFmtId="3" fontId="3" fillId="0" borderId="5" xfId="0" quotePrefix="1" applyNumberFormat="1" applyFont="1" applyFill="1" applyBorder="1" applyAlignment="1">
      <alignment horizontal="center" vertical="center" wrapText="1"/>
    </xf>
    <xf numFmtId="3" fontId="5" fillId="0" borderId="5" xfId="0" quotePrefix="1" applyNumberFormat="1" applyFont="1" applyFill="1" applyBorder="1" applyAlignment="1">
      <alignment horizontal="center" vertical="center" wrapText="1"/>
    </xf>
    <xf numFmtId="0" fontId="7" fillId="2" borderId="3"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3" fillId="2" borderId="0" xfId="0" applyFont="1" applyFill="1" applyAlignment="1">
      <alignment horizontal="center" vertical="center" wrapText="1"/>
    </xf>
    <xf numFmtId="3" fontId="15" fillId="2" borderId="0" xfId="0" applyNumberFormat="1" applyFont="1" applyFill="1" applyAlignment="1">
      <alignment horizontal="center" vertical="center" wrapText="1"/>
    </xf>
    <xf numFmtId="0" fontId="7" fillId="2" borderId="30" xfId="0" applyFont="1" applyFill="1" applyBorder="1" applyAlignment="1">
      <alignment horizontal="center" vertical="center" wrapText="1"/>
    </xf>
    <xf numFmtId="3" fontId="5" fillId="2" borderId="30" xfId="0" quotePrefix="1" applyNumberFormat="1" applyFont="1" applyFill="1" applyBorder="1" applyAlignment="1">
      <alignment horizontal="center" vertical="center" wrapText="1"/>
    </xf>
    <xf numFmtId="3" fontId="3" fillId="2" borderId="30" xfId="0" quotePrefix="1" applyNumberFormat="1" applyFont="1" applyFill="1" applyBorder="1" applyAlignment="1">
      <alignment horizontal="center" vertical="center" wrapText="1"/>
    </xf>
    <xf numFmtId="0" fontId="3" fillId="2" borderId="30" xfId="0" applyFont="1" applyFill="1" applyBorder="1" applyAlignment="1">
      <alignment horizontal="center" vertical="center" wrapText="1"/>
    </xf>
    <xf numFmtId="0" fontId="5" fillId="2" borderId="30" xfId="0" applyFont="1" applyFill="1" applyBorder="1" applyAlignment="1">
      <alignment horizontal="center" vertical="center" wrapText="1"/>
    </xf>
    <xf numFmtId="3" fontId="3" fillId="0" borderId="30" xfId="0" quotePrefix="1" applyNumberFormat="1" applyFont="1" applyBorder="1" applyAlignment="1">
      <alignment horizontal="center" vertical="center" wrapText="1"/>
    </xf>
    <xf numFmtId="3" fontId="5" fillId="2" borderId="30" xfId="0" applyNumberFormat="1"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0" xfId="0" applyFont="1" applyFill="1" applyAlignment="1">
      <alignment horizontal="center" vertical="center" wrapText="1"/>
    </xf>
    <xf numFmtId="0" fontId="7"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5" xfId="0" applyFont="1" applyFill="1" applyBorder="1" applyAlignment="1">
      <alignment horizontal="center" vertical="center" wrapText="1"/>
    </xf>
    <xf numFmtId="3" fontId="6" fillId="0" borderId="5" xfId="0" applyNumberFormat="1" applyFont="1" applyBorder="1" applyAlignment="1">
      <alignment horizontal="center" vertical="center" wrapText="1"/>
    </xf>
    <xf numFmtId="3" fontId="10" fillId="2" borderId="5" xfId="0" quotePrefix="1" applyNumberFormat="1" applyFont="1" applyFill="1" applyBorder="1" applyAlignment="1">
      <alignment horizontal="center" vertical="center" wrapText="1"/>
    </xf>
    <xf numFmtId="3" fontId="6" fillId="2" borderId="5" xfId="0" quotePrefix="1" applyNumberFormat="1" applyFont="1" applyFill="1" applyBorder="1" applyAlignment="1">
      <alignment horizontal="center" vertical="center" wrapText="1"/>
    </xf>
    <xf numFmtId="3" fontId="6" fillId="2" borderId="11" xfId="0" quotePrefix="1" applyNumberFormat="1" applyFont="1" applyFill="1" applyBorder="1" applyAlignment="1">
      <alignment horizontal="center" vertical="center" wrapText="1"/>
    </xf>
    <xf numFmtId="3" fontId="10" fillId="2" borderId="4" xfId="0" quotePrefix="1" applyNumberFormat="1" applyFont="1" applyFill="1" applyBorder="1" applyAlignment="1">
      <alignment horizontal="center" vertical="center" wrapText="1"/>
    </xf>
    <xf numFmtId="0" fontId="6" fillId="2" borderId="0" xfId="0" applyFont="1" applyFill="1" applyAlignment="1">
      <alignment horizontal="center" vertical="center" wrapText="1"/>
    </xf>
    <xf numFmtId="3" fontId="6" fillId="2" borderId="0" xfId="0" applyNumberFormat="1" applyFont="1" applyFill="1" applyAlignment="1">
      <alignment horizontal="center" vertical="center" wrapText="1"/>
    </xf>
    <xf numFmtId="0" fontId="7" fillId="0" borderId="3" xfId="0" applyFont="1" applyFill="1" applyBorder="1" applyAlignment="1">
      <alignment horizontal="center" vertical="center" wrapText="1"/>
    </xf>
    <xf numFmtId="0" fontId="7" fillId="0" borderId="5" xfId="0" applyFont="1" applyFill="1" applyBorder="1" applyAlignment="1">
      <alignment horizontal="center" vertical="center" wrapText="1"/>
    </xf>
    <xf numFmtId="3" fontId="3" fillId="0" borderId="5" xfId="0" applyNumberFormat="1" applyFont="1" applyFill="1" applyBorder="1" applyAlignment="1">
      <alignment horizontal="center" vertical="center" wrapText="1"/>
    </xf>
    <xf numFmtId="1" fontId="6" fillId="0" borderId="5" xfId="0" applyNumberFormat="1" applyFont="1" applyFill="1" applyBorder="1" applyAlignment="1">
      <alignment horizontal="center" vertical="center" wrapText="1"/>
    </xf>
    <xf numFmtId="3" fontId="5" fillId="0" borderId="4" xfId="0" quotePrefix="1" applyNumberFormat="1" applyFont="1" applyFill="1" applyBorder="1" applyAlignment="1">
      <alignment horizontal="center" vertical="center" wrapText="1"/>
    </xf>
    <xf numFmtId="0" fontId="6" fillId="0" borderId="2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0" xfId="0" applyFont="1" applyFill="1" applyAlignment="1">
      <alignment horizontal="center" vertical="center" wrapText="1"/>
    </xf>
    <xf numFmtId="3" fontId="15" fillId="2" borderId="30" xfId="0" quotePrefix="1" applyNumberFormat="1" applyFont="1" applyFill="1" applyBorder="1" applyAlignment="1">
      <alignment horizontal="center" vertical="center" wrapText="1"/>
    </xf>
    <xf numFmtId="3" fontId="10" fillId="2" borderId="11" xfId="0" quotePrefix="1" applyNumberFormat="1" applyFont="1" applyFill="1" applyBorder="1" applyAlignment="1">
      <alignment horizontal="center" vertical="center" wrapText="1"/>
    </xf>
    <xf numFmtId="3" fontId="10" fillId="0" borderId="5" xfId="0" quotePrefix="1" applyNumberFormat="1" applyFont="1" applyFill="1" applyBorder="1" applyAlignment="1">
      <alignment horizontal="center" vertical="center" wrapText="1"/>
    </xf>
    <xf numFmtId="3" fontId="6" fillId="0" borderId="11" xfId="0" quotePrefix="1" applyNumberFormat="1" applyFont="1" applyFill="1" applyBorder="1" applyAlignment="1">
      <alignment horizontal="center" vertical="center" wrapText="1"/>
    </xf>
    <xf numFmtId="0" fontId="7" fillId="2" borderId="5" xfId="0" applyFont="1" applyFill="1" applyBorder="1" applyAlignment="1">
      <alignment horizontal="center" vertical="center" wrapText="1"/>
    </xf>
    <xf numFmtId="0" fontId="3" fillId="2" borderId="0" xfId="0" applyFont="1" applyFill="1" applyAlignment="1">
      <alignment horizontal="center" vertical="center" wrapText="1"/>
    </xf>
    <xf numFmtId="0" fontId="7" fillId="2" borderId="19"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0" xfId="0" applyFont="1" applyFill="1" applyAlignment="1">
      <alignment horizontal="center" vertical="center" wrapText="1"/>
    </xf>
    <xf numFmtId="0" fontId="5" fillId="2" borderId="0" xfId="0" applyFont="1" applyFill="1" applyAlignment="1">
      <alignment horizontal="center" vertical="center" wrapText="1"/>
    </xf>
    <xf numFmtId="2" fontId="5" fillId="2" borderId="0" xfId="9" applyNumberFormat="1" applyFont="1" applyFill="1" applyAlignment="1">
      <alignment horizontal="center" vertical="center" wrapText="1"/>
    </xf>
    <xf numFmtId="3" fontId="6" fillId="0" borderId="5" xfId="0" quotePrefix="1" applyNumberFormat="1" applyFont="1" applyFill="1" applyBorder="1" applyAlignment="1">
      <alignment horizontal="center" vertical="center" wrapText="1"/>
    </xf>
    <xf numFmtId="0" fontId="3" fillId="2" borderId="0" xfId="0" applyFont="1" applyFill="1" applyAlignment="1">
      <alignment horizontal="center" vertical="center" wrapText="1"/>
    </xf>
    <xf numFmtId="0" fontId="5" fillId="2" borderId="0" xfId="0" applyFont="1" applyFill="1" applyAlignment="1">
      <alignment horizontal="center" vertical="center" wrapText="1"/>
    </xf>
    <xf numFmtId="0" fontId="3" fillId="2" borderId="0" xfId="0" applyFont="1" applyFill="1" applyAlignment="1">
      <alignment horizontal="center" vertical="center" wrapText="1"/>
    </xf>
    <xf numFmtId="0" fontId="5" fillId="2" borderId="0" xfId="0" applyFont="1" applyFill="1" applyAlignment="1">
      <alignment horizontal="center" vertical="center" wrapText="1"/>
    </xf>
    <xf numFmtId="0" fontId="3" fillId="2" borderId="0" xfId="0" applyFont="1" applyFill="1" applyAlignment="1">
      <alignment horizontal="center" vertical="center" wrapText="1"/>
    </xf>
    <xf numFmtId="0" fontId="7" fillId="2" borderId="31" xfId="0" applyFont="1" applyFill="1" applyBorder="1" applyAlignment="1">
      <alignment horizontal="center" vertical="center" wrapText="1"/>
    </xf>
    <xf numFmtId="3" fontId="3" fillId="0" borderId="5" xfId="0" quotePrefix="1" applyNumberFormat="1" applyFont="1" applyBorder="1" applyAlignment="1">
      <alignment horizontal="center" vertical="center" wrapText="1"/>
    </xf>
    <xf numFmtId="0" fontId="9" fillId="2" borderId="5" xfId="0" applyFont="1" applyFill="1" applyBorder="1" applyAlignment="1">
      <alignment horizontal="center" vertical="center" wrapText="1"/>
    </xf>
    <xf numFmtId="3" fontId="9" fillId="2" borderId="5" xfId="0" quotePrefix="1" applyNumberFormat="1" applyFont="1" applyFill="1" applyBorder="1" applyAlignment="1">
      <alignment horizontal="center" vertical="center" wrapText="1"/>
    </xf>
    <xf numFmtId="1" fontId="9" fillId="2" borderId="5" xfId="0" applyNumberFormat="1" applyFont="1" applyFill="1" applyBorder="1" applyAlignment="1">
      <alignment horizontal="center" vertical="center" wrapText="1"/>
    </xf>
    <xf numFmtId="3" fontId="15" fillId="2" borderId="5" xfId="0" quotePrefix="1" applyNumberFormat="1" applyFont="1" applyFill="1" applyBorder="1" applyAlignment="1">
      <alignment horizontal="center" vertical="center" wrapText="1"/>
    </xf>
    <xf numFmtId="0" fontId="5" fillId="2" borderId="0" xfId="0" applyFont="1" applyFill="1" applyAlignment="1">
      <alignment horizontal="center" vertical="center" wrapText="1"/>
    </xf>
    <xf numFmtId="165" fontId="3" fillId="2" borderId="5" xfId="0" applyNumberFormat="1" applyFont="1" applyFill="1" applyBorder="1" applyAlignment="1">
      <alignment horizontal="center" vertical="center" wrapText="1"/>
    </xf>
    <xf numFmtId="3" fontId="6" fillId="0" borderId="5" xfId="0" applyNumberFormat="1" applyFont="1" applyFill="1" applyBorder="1" applyAlignment="1">
      <alignment horizontal="center" vertical="center" wrapText="1"/>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27" xfId="0" quotePrefix="1" applyFont="1" applyFill="1" applyBorder="1" applyAlignment="1">
      <alignment horizontal="left"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12" fillId="2" borderId="0" xfId="0" applyFont="1" applyFill="1" applyAlignment="1">
      <alignment horizontal="center" vertical="center" wrapText="1"/>
    </xf>
    <xf numFmtId="0" fontId="6" fillId="2" borderId="3" xfId="0" applyFont="1" applyFill="1" applyBorder="1" applyAlignment="1">
      <alignment vertical="center" wrapText="1"/>
    </xf>
    <xf numFmtId="0" fontId="3" fillId="2" borderId="0" xfId="0" applyFont="1" applyFill="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6" fillId="2" borderId="4" xfId="0" applyFont="1" applyFill="1" applyBorder="1" applyAlignment="1">
      <alignment horizontal="left" vertical="center" wrapText="1" inden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6" fillId="2" borderId="6" xfId="0" quotePrefix="1" applyFont="1" applyFill="1" applyBorder="1" applyAlignment="1">
      <alignment horizontal="left" vertical="center" wrapText="1" indent="1"/>
    </xf>
    <xf numFmtId="0" fontId="6" fillId="0" borderId="6" xfId="0" applyFont="1" applyBorder="1" applyAlignment="1">
      <alignment horizontal="left" indent="1"/>
    </xf>
    <xf numFmtId="0" fontId="6" fillId="2" borderId="11" xfId="0" applyFont="1" applyFill="1" applyBorder="1" applyAlignment="1">
      <alignment horizontal="left" vertical="center" wrapText="1" indent="1"/>
    </xf>
    <xf numFmtId="0" fontId="6" fillId="2" borderId="12" xfId="0" applyFont="1" applyFill="1" applyBorder="1" applyAlignment="1">
      <alignment horizontal="left" vertical="center" wrapText="1" indent="1"/>
    </xf>
    <xf numFmtId="9" fontId="4" fillId="2" borderId="11" xfId="0" applyNumberFormat="1" applyFont="1" applyFill="1" applyBorder="1" applyAlignment="1">
      <alignment horizontal="center" vertical="center" wrapText="1"/>
    </xf>
    <xf numFmtId="9" fontId="4" fillId="2" borderId="12" xfId="0" applyNumberFormat="1" applyFont="1" applyFill="1" applyBorder="1" applyAlignment="1">
      <alignment horizontal="center" vertical="center" wrapText="1"/>
    </xf>
    <xf numFmtId="0" fontId="9" fillId="2" borderId="4" xfId="0" applyFont="1" applyFill="1" applyBorder="1" applyAlignment="1">
      <alignment horizontal="left" vertical="center" wrapText="1" indent="1"/>
    </xf>
    <xf numFmtId="0" fontId="6" fillId="2" borderId="4" xfId="0" applyFont="1" applyFill="1" applyBorder="1" applyAlignment="1">
      <alignment horizontal="center" vertical="center" wrapText="1"/>
    </xf>
    <xf numFmtId="0" fontId="6" fillId="2" borderId="3" xfId="0" applyFont="1" applyFill="1" applyBorder="1" applyAlignment="1">
      <alignment horizontal="left" vertical="center" wrapText="1" indent="1"/>
    </xf>
    <xf numFmtId="0" fontId="7"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7" fillId="2" borderId="19"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6" fillId="2" borderId="21" xfId="0" applyFont="1" applyFill="1" applyBorder="1" applyAlignment="1">
      <alignment horizontal="left" vertical="center" wrapText="1"/>
    </xf>
    <xf numFmtId="0" fontId="6" fillId="2" borderId="22" xfId="0" applyFont="1" applyFill="1" applyBorder="1" applyAlignment="1">
      <alignment horizontal="left" vertical="center" wrapText="1"/>
    </xf>
    <xf numFmtId="0" fontId="6" fillId="2" borderId="23"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6" fillId="0" borderId="2" xfId="0" applyFont="1" applyBorder="1" applyAlignment="1">
      <alignment horizontal="left"/>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6" fillId="2" borderId="5" xfId="0" applyFont="1" applyFill="1" applyBorder="1" applyAlignment="1">
      <alignment horizontal="left" vertical="center" wrapText="1"/>
    </xf>
    <xf numFmtId="9" fontId="4" fillId="2" borderId="17" xfId="0" applyNumberFormat="1" applyFont="1" applyFill="1" applyBorder="1" applyAlignment="1">
      <alignment horizontal="center" vertical="center" wrapText="1"/>
    </xf>
    <xf numFmtId="0" fontId="10" fillId="2" borderId="11" xfId="0" applyFont="1" applyFill="1" applyBorder="1" applyAlignment="1">
      <alignment horizontal="left" vertical="center" wrapText="1"/>
    </xf>
    <xf numFmtId="0" fontId="10" fillId="2" borderId="17" xfId="0" applyFont="1" applyFill="1" applyBorder="1" applyAlignment="1">
      <alignment horizontal="left" vertical="center" wrapText="1"/>
    </xf>
    <xf numFmtId="0" fontId="10" fillId="2" borderId="12"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2" borderId="17"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3" fillId="2" borderId="11" xfId="0" quotePrefix="1" applyFont="1" applyFill="1" applyBorder="1" applyAlignment="1">
      <alignment horizontal="left" vertical="center" wrapText="1"/>
    </xf>
    <xf numFmtId="0" fontId="3" fillId="2" borderId="17"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0" borderId="11" xfId="0" quotePrefix="1"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6" fillId="2" borderId="5" xfId="0" quotePrefix="1" applyFont="1" applyFill="1" applyBorder="1" applyAlignment="1">
      <alignment horizontal="left" vertical="center" wrapText="1"/>
    </xf>
    <xf numFmtId="0" fontId="5" fillId="2" borderId="13"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7" fillId="2" borderId="3" xfId="0" applyFont="1" applyFill="1" applyBorder="1" applyAlignment="1">
      <alignment horizontal="left" vertical="center" wrapText="1" indent="1"/>
    </xf>
    <xf numFmtId="9" fontId="4" fillId="2" borderId="11" xfId="0" applyNumberFormat="1" applyFont="1" applyFill="1" applyBorder="1" applyAlignment="1">
      <alignment horizontal="left" vertical="center" wrapText="1"/>
    </xf>
    <xf numFmtId="9" fontId="4" fillId="2" borderId="17" xfId="0" applyNumberFormat="1" applyFont="1" applyFill="1" applyBorder="1" applyAlignment="1">
      <alignment horizontal="left" vertical="center" wrapText="1"/>
    </xf>
    <xf numFmtId="0" fontId="6" fillId="2" borderId="2" xfId="0" applyFont="1" applyFill="1" applyBorder="1" applyAlignment="1">
      <alignment horizontal="left" vertical="center" wrapText="1" indent="1"/>
    </xf>
    <xf numFmtId="0" fontId="6" fillId="2" borderId="2" xfId="0" applyFont="1" applyFill="1" applyBorder="1" applyAlignment="1">
      <alignment horizontal="left" indent="1"/>
    </xf>
    <xf numFmtId="0" fontId="6" fillId="2" borderId="17" xfId="0" applyFont="1" applyFill="1" applyBorder="1" applyAlignment="1">
      <alignment horizontal="left" vertical="center" wrapText="1" indent="1"/>
    </xf>
    <xf numFmtId="0" fontId="10" fillId="2" borderId="11" xfId="0" applyFont="1" applyFill="1" applyBorder="1" applyAlignment="1">
      <alignment horizontal="left" vertical="center" wrapText="1" indent="1"/>
    </xf>
    <xf numFmtId="0" fontId="10" fillId="2" borderId="17" xfId="0" applyFont="1" applyFill="1" applyBorder="1" applyAlignment="1">
      <alignment horizontal="left" vertical="center" wrapText="1" indent="1"/>
    </xf>
    <xf numFmtId="0" fontId="10" fillId="2" borderId="12" xfId="0" applyFont="1" applyFill="1" applyBorder="1" applyAlignment="1">
      <alignment horizontal="left" vertical="center" wrapText="1" indent="1"/>
    </xf>
    <xf numFmtId="0" fontId="6" fillId="2" borderId="5" xfId="0" quotePrefix="1" applyFont="1" applyFill="1" applyBorder="1" applyAlignment="1">
      <alignment horizontal="left" vertical="center" wrapText="1" indent="1"/>
    </xf>
    <xf numFmtId="0" fontId="6" fillId="2" borderId="5" xfId="0" applyFont="1" applyFill="1" applyBorder="1" applyAlignment="1">
      <alignment horizontal="left" vertical="center" wrapText="1" indent="1"/>
    </xf>
    <xf numFmtId="0" fontId="6" fillId="2" borderId="1" xfId="0" applyFont="1" applyFill="1" applyBorder="1" applyAlignment="1">
      <alignment vertical="center" wrapText="1"/>
    </xf>
    <xf numFmtId="0" fontId="6" fillId="2" borderId="2" xfId="0" applyFont="1" applyFill="1" applyBorder="1" applyAlignment="1">
      <alignment vertical="center" wrapText="1"/>
    </xf>
    <xf numFmtId="0" fontId="6" fillId="0" borderId="2" xfId="0" applyFont="1" applyBorder="1"/>
    <xf numFmtId="0" fontId="3" fillId="2" borderId="11" xfId="0" applyFont="1" applyFill="1" applyBorder="1" applyAlignment="1">
      <alignment horizontal="left" vertical="center" wrapText="1"/>
    </xf>
    <xf numFmtId="0" fontId="6" fillId="4" borderId="5" xfId="0" quotePrefix="1" applyFont="1" applyFill="1" applyBorder="1" applyAlignment="1">
      <alignment horizontal="left" vertical="center" wrapText="1" indent="1"/>
    </xf>
    <xf numFmtId="0" fontId="6" fillId="4" borderId="5" xfId="0" applyFont="1" applyFill="1" applyBorder="1" applyAlignment="1">
      <alignment horizontal="left" vertical="center" wrapText="1" indent="1"/>
    </xf>
    <xf numFmtId="0" fontId="6" fillId="0" borderId="2" xfId="0" applyFont="1" applyBorder="1" applyAlignment="1">
      <alignment horizontal="left" indent="1"/>
    </xf>
    <xf numFmtId="0" fontId="6" fillId="3" borderId="11" xfId="0" applyFont="1" applyFill="1" applyBorder="1" applyAlignment="1">
      <alignment horizontal="left" vertical="center" wrapText="1" indent="1"/>
    </xf>
    <xf numFmtId="0" fontId="6" fillId="3" borderId="17" xfId="0" applyFont="1" applyFill="1" applyBorder="1" applyAlignment="1">
      <alignment horizontal="left" vertical="center" wrapText="1" indent="1"/>
    </xf>
    <xf numFmtId="0" fontId="6" fillId="3" borderId="12" xfId="0" applyFont="1" applyFill="1" applyBorder="1" applyAlignment="1">
      <alignment horizontal="left" vertical="center" wrapText="1" indent="1"/>
    </xf>
    <xf numFmtId="0" fontId="10" fillId="3" borderId="11"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10" fillId="3" borderId="12" xfId="0" applyFont="1" applyFill="1" applyBorder="1" applyAlignment="1">
      <alignment horizontal="left" vertical="center" wrapText="1"/>
    </xf>
    <xf numFmtId="0" fontId="7" fillId="2" borderId="30" xfId="0" applyFont="1" applyFill="1" applyBorder="1" applyAlignment="1">
      <alignment horizontal="center" vertical="center" wrapText="1"/>
    </xf>
    <xf numFmtId="0" fontId="10" fillId="0" borderId="11"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10" fillId="0" borderId="12" xfId="0" applyFont="1" applyFill="1" applyBorder="1" applyAlignment="1">
      <alignment horizontal="left" vertical="center" wrapText="1"/>
    </xf>
    <xf numFmtId="9" fontId="17" fillId="0" borderId="11" xfId="0" applyNumberFormat="1" applyFont="1" applyFill="1" applyBorder="1" applyAlignment="1">
      <alignment horizontal="left" vertical="center" wrapText="1"/>
    </xf>
    <xf numFmtId="9" fontId="17" fillId="0" borderId="17" xfId="0" applyNumberFormat="1" applyFont="1" applyFill="1" applyBorder="1" applyAlignment="1">
      <alignment horizontal="left" vertical="center" wrapText="1"/>
    </xf>
    <xf numFmtId="0" fontId="6" fillId="2" borderId="0" xfId="0" applyFont="1" applyFill="1" applyAlignment="1">
      <alignment horizontal="center" vertical="center" wrapText="1"/>
    </xf>
    <xf numFmtId="0" fontId="6" fillId="0" borderId="21" xfId="0" applyFont="1" applyFill="1" applyBorder="1" applyAlignment="1">
      <alignment horizontal="left" vertical="center" wrapText="1"/>
    </xf>
    <xf numFmtId="0" fontId="6" fillId="0" borderId="22" xfId="0" applyFont="1" applyFill="1" applyBorder="1" applyAlignment="1">
      <alignment horizontal="left" vertical="center" wrapText="1"/>
    </xf>
    <xf numFmtId="0" fontId="6" fillId="0" borderId="23" xfId="0" applyFont="1" applyFill="1" applyBorder="1" applyAlignment="1">
      <alignment horizontal="left" vertical="center" wrapText="1"/>
    </xf>
    <xf numFmtId="0" fontId="6" fillId="0" borderId="2" xfId="0" applyFont="1" applyBorder="1" applyAlignment="1"/>
    <xf numFmtId="0" fontId="16"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0" fontId="5" fillId="2" borderId="0" xfId="0" applyFont="1" applyFill="1" applyAlignment="1">
      <alignment horizontal="center" vertical="center" wrapText="1"/>
    </xf>
    <xf numFmtId="0" fontId="6" fillId="0" borderId="11" xfId="0" applyFont="1" applyFill="1" applyBorder="1" applyAlignment="1">
      <alignment horizontal="left" vertical="center" wrapText="1" indent="1"/>
    </xf>
    <xf numFmtId="0" fontId="6" fillId="0" borderId="17" xfId="0" applyFont="1" applyFill="1" applyBorder="1" applyAlignment="1">
      <alignment horizontal="left" vertical="center" wrapText="1" indent="1"/>
    </xf>
    <xf numFmtId="0" fontId="6" fillId="0" borderId="12" xfId="0" applyFont="1" applyFill="1" applyBorder="1" applyAlignment="1">
      <alignment horizontal="left" vertical="center" wrapText="1" indent="1"/>
    </xf>
    <xf numFmtId="0" fontId="6" fillId="2" borderId="1" xfId="0" applyFont="1" applyFill="1" applyBorder="1" applyAlignment="1">
      <alignment horizontal="left" vertical="center" wrapText="1" indent="1"/>
    </xf>
    <xf numFmtId="0" fontId="7" fillId="2" borderId="0" xfId="0" applyFont="1" applyFill="1" applyAlignment="1">
      <alignment horizontal="center" vertical="center" wrapText="1"/>
    </xf>
    <xf numFmtId="9" fontId="3" fillId="2" borderId="11" xfId="0" applyNumberFormat="1" applyFont="1" applyFill="1" applyBorder="1" applyAlignment="1">
      <alignment horizontal="center" vertical="center" wrapText="1"/>
    </xf>
    <xf numFmtId="9" fontId="3" fillId="2" borderId="17" xfId="0" applyNumberFormat="1" applyFont="1" applyFill="1" applyBorder="1" applyAlignment="1">
      <alignment horizontal="center" vertical="center" wrapText="1"/>
    </xf>
    <xf numFmtId="0" fontId="9" fillId="2" borderId="11" xfId="0" applyFont="1" applyFill="1" applyBorder="1" applyAlignment="1">
      <alignment horizontal="left" vertical="center" wrapText="1"/>
    </xf>
    <xf numFmtId="0" fontId="9" fillId="2" borderId="17" xfId="0" applyFont="1" applyFill="1" applyBorder="1" applyAlignment="1">
      <alignment horizontal="left" vertical="center" wrapText="1"/>
    </xf>
    <xf numFmtId="0" fontId="9" fillId="2" borderId="12" xfId="0" applyFont="1" applyFill="1" applyBorder="1" applyAlignment="1">
      <alignment horizontal="left" vertical="center" wrapText="1"/>
    </xf>
    <xf numFmtId="0" fontId="6" fillId="0" borderId="5" xfId="0" quotePrefix="1" applyFont="1" applyFill="1" applyBorder="1" applyAlignment="1">
      <alignment horizontal="left" vertical="center" wrapText="1" indent="1"/>
    </xf>
    <xf numFmtId="0" fontId="6" fillId="0" borderId="5" xfId="0" applyFont="1" applyFill="1" applyBorder="1" applyAlignment="1">
      <alignment horizontal="left" vertical="center" wrapText="1" indent="1"/>
    </xf>
    <xf numFmtId="0" fontId="7" fillId="0" borderId="19" xfId="0" applyFont="1" applyFill="1" applyBorder="1" applyAlignment="1">
      <alignment horizontal="center" vertical="center" wrapText="1"/>
    </xf>
    <xf numFmtId="0" fontId="7" fillId="0" borderId="20" xfId="0" applyFont="1" applyFill="1" applyBorder="1" applyAlignment="1">
      <alignment horizontal="center" vertical="center" wrapText="1"/>
    </xf>
    <xf numFmtId="9" fontId="3" fillId="0" borderId="11" xfId="0" applyNumberFormat="1" applyFont="1" applyFill="1" applyBorder="1" applyAlignment="1">
      <alignment horizontal="center" vertical="center" wrapText="1"/>
    </xf>
    <xf numFmtId="9" fontId="3" fillId="0" borderId="17"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2" borderId="2" xfId="0" applyFont="1" applyFill="1" applyBorder="1" applyAlignment="1">
      <alignment horizontal="left"/>
    </xf>
    <xf numFmtId="0" fontId="3" fillId="0" borderId="0" xfId="0" applyFont="1" applyFill="1" applyAlignment="1">
      <alignment horizontal="center" vertical="center" wrapText="1"/>
    </xf>
    <xf numFmtId="0" fontId="7" fillId="0" borderId="5"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0" xfId="0" applyFont="1" applyFill="1" applyAlignment="1">
      <alignment horizontal="center"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left" vertical="center" wrapText="1" indent="1"/>
    </xf>
    <xf numFmtId="0" fontId="7" fillId="0" borderId="4" xfId="0" applyFont="1" applyFill="1" applyBorder="1" applyAlignment="1">
      <alignment horizontal="center" vertical="center" wrapText="1"/>
    </xf>
    <xf numFmtId="0" fontId="6" fillId="0" borderId="3" xfId="0" applyFont="1" applyFill="1" applyBorder="1" applyAlignment="1">
      <alignment horizontal="left" vertical="center" wrapText="1" indent="1"/>
    </xf>
    <xf numFmtId="0" fontId="9" fillId="0" borderId="4" xfId="0" applyFont="1" applyFill="1" applyBorder="1" applyAlignment="1">
      <alignment horizontal="left" vertical="center" wrapText="1" indent="1"/>
    </xf>
    <xf numFmtId="0" fontId="5" fillId="0" borderId="13"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0" borderId="3" xfId="0" applyFont="1" applyFill="1" applyBorder="1" applyAlignment="1">
      <alignment horizontal="left" vertical="center" wrapText="1" indent="1"/>
    </xf>
  </cellXfs>
  <cellStyles count="10">
    <cellStyle name="Comma" xfId="1" builtinId="3"/>
    <cellStyle name="Normal" xfId="0" builtinId="0"/>
    <cellStyle name="Normal 2" xfId="2"/>
    <cellStyle name="Normal 3 2" xfId="3"/>
    <cellStyle name="Normal 3 2 2" xfId="7"/>
    <cellStyle name="Normal 3 2 4" xfId="4"/>
    <cellStyle name="Normal 3 2 4 3" xfId="6"/>
    <cellStyle name="Normal 3 4" xfId="8"/>
    <cellStyle name="Normal 5 2" xfId="5"/>
    <cellStyle name="Percent" xfId="9" builtinId="5"/>
  </cellStyles>
  <dxfs count="0"/>
  <tableStyles count="0" defaultTableStyle="TableStyleMedium9" defaultPivotStyle="PivotStyleLight16"/>
  <colors>
    <mruColors>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M18"/>
  <sheetViews>
    <sheetView tabSelected="1" view="pageBreakPreview" topLeftCell="A13" zoomScaleNormal="100" zoomScaleSheetLayoutView="100" workbookViewId="0">
      <selection activeCell="E15" sqref="E15"/>
    </sheetView>
  </sheetViews>
  <sheetFormatPr defaultColWidth="9.140625" defaultRowHeight="12.75" x14ac:dyDescent="0.25"/>
  <cols>
    <col min="1" max="1" width="7.7109375" style="1" customWidth="1"/>
    <col min="2" max="2" width="14.42578125" style="1" customWidth="1"/>
    <col min="3" max="3" width="8.7109375" style="1" customWidth="1"/>
    <col min="4" max="10" width="18.7109375" style="1" customWidth="1"/>
    <col min="11" max="11" width="4.42578125" style="1" customWidth="1"/>
    <col min="12" max="12" width="9.140625" style="1"/>
    <col min="13" max="17" width="18.7109375" style="1" customWidth="1"/>
    <col min="18" max="16384" width="9.140625" style="1"/>
  </cols>
  <sheetData>
    <row r="1" spans="1:13" s="20" customFormat="1" ht="30.75" customHeight="1" x14ac:dyDescent="0.25">
      <c r="A1" s="120" t="s">
        <v>32</v>
      </c>
      <c r="B1" s="120"/>
      <c r="C1" s="120"/>
      <c r="D1" s="120"/>
      <c r="E1" s="120"/>
      <c r="F1" s="120"/>
      <c r="G1" s="120"/>
      <c r="H1" s="120"/>
      <c r="I1" s="120"/>
      <c r="J1" s="120"/>
    </row>
    <row r="2" spans="1:13" ht="33" customHeight="1" x14ac:dyDescent="0.25">
      <c r="A2" s="123" t="s">
        <v>2</v>
      </c>
      <c r="B2" s="123"/>
      <c r="C2" s="123" t="s">
        <v>1</v>
      </c>
      <c r="D2" s="123"/>
      <c r="E2" s="123"/>
      <c r="F2" s="123" t="s">
        <v>3</v>
      </c>
      <c r="G2" s="123"/>
      <c r="H2" s="123"/>
      <c r="I2" s="123"/>
      <c r="J2" s="123"/>
    </row>
    <row r="3" spans="1:13" ht="27" customHeight="1" x14ac:dyDescent="0.25">
      <c r="A3" s="125" t="s">
        <v>88</v>
      </c>
      <c r="B3" s="125"/>
      <c r="C3" s="125" t="s">
        <v>35</v>
      </c>
      <c r="D3" s="125"/>
      <c r="E3" s="125"/>
      <c r="F3" s="125" t="s">
        <v>86</v>
      </c>
      <c r="G3" s="125"/>
      <c r="H3" s="125"/>
      <c r="I3" s="125"/>
      <c r="J3" s="125"/>
    </row>
    <row r="4" spans="1:13" ht="8.1" customHeight="1" x14ac:dyDescent="0.25">
      <c r="A4" s="122"/>
      <c r="B4" s="122"/>
      <c r="C4" s="122"/>
      <c r="D4" s="122"/>
      <c r="E4" s="122"/>
      <c r="F4" s="122"/>
      <c r="G4" s="122"/>
      <c r="H4" s="122"/>
      <c r="I4" s="122"/>
      <c r="J4" s="122"/>
    </row>
    <row r="5" spans="1:13" ht="36" customHeight="1" x14ac:dyDescent="0.25">
      <c r="A5" s="123" t="s">
        <v>4</v>
      </c>
      <c r="B5" s="123"/>
      <c r="C5" s="126" t="s">
        <v>87</v>
      </c>
      <c r="D5" s="126"/>
      <c r="E5" s="126"/>
      <c r="F5" s="123" t="s">
        <v>5</v>
      </c>
      <c r="G5" s="2" t="s">
        <v>94</v>
      </c>
      <c r="H5" s="2" t="s">
        <v>102</v>
      </c>
      <c r="I5" s="2" t="s">
        <v>127</v>
      </c>
      <c r="J5" s="2" t="s">
        <v>205</v>
      </c>
    </row>
    <row r="6" spans="1:13" ht="18" customHeight="1" x14ac:dyDescent="0.25">
      <c r="A6" s="124"/>
      <c r="B6" s="124"/>
      <c r="C6" s="125"/>
      <c r="D6" s="125"/>
      <c r="E6" s="125"/>
      <c r="F6" s="124"/>
      <c r="G6" s="7">
        <f>'06 02 01'!G6+'06 02 02'!G6+'06 02 03'!G6+'06 02 04'!G6+'06 02 05'!G6+'06 02 06'!G6+'06 02 07'!G6+'06 02 09'!G6+'06 02 10'!G6+'06 02 11'!G6</f>
        <v>19096433.199999999</v>
      </c>
      <c r="H6" s="7">
        <f>'06 02 01'!H6+'06 02 02'!H6+'06 02 03'!H6+'06 02 04'!H6+'06 02 05'!H6+'06 02 06'!H6+'06 02 07'!H6+'06 02 09'!H6+'06 02 10'!H6+'06 02 11'!H6</f>
        <v>19454400</v>
      </c>
      <c r="I6" s="7">
        <f>'06 02 01'!I6+'06 02 02'!I6+'06 02 03'!I6+'06 02 04'!I6+'06 02 05'!I6+'06 02 06'!I6+'06 02 07'!I6+'06 02 09'!I6+'06 02 10'!I6+'06 02 11'!I6</f>
        <v>20316500</v>
      </c>
      <c r="J6" s="7">
        <f>'06 02 01'!J6+'06 02 02'!J6+'06 02 03'!J6+'06 02 04'!J6+'06 02 05'!J6+'06 02 06'!J6+'06 02 07'!J6+'06 02 09'!J6+'06 02 10'!J6+'06 02 11'!J6</f>
        <v>21262200</v>
      </c>
      <c r="L6" s="23">
        <f>G6-16635400</f>
        <v>2461033.1999999993</v>
      </c>
      <c r="M6" s="23"/>
    </row>
    <row r="7" spans="1:13" ht="8.1" customHeight="1" x14ac:dyDescent="0.25">
      <c r="A7" s="122"/>
      <c r="B7" s="122"/>
      <c r="C7" s="122"/>
      <c r="D7" s="122"/>
      <c r="E7" s="122"/>
      <c r="F7" s="122"/>
      <c r="G7" s="122"/>
      <c r="H7" s="122"/>
      <c r="I7" s="122"/>
      <c r="J7" s="122"/>
    </row>
    <row r="8" spans="1:13" ht="33.75" customHeight="1" x14ac:dyDescent="0.25">
      <c r="A8" s="116" t="s">
        <v>6</v>
      </c>
      <c r="B8" s="117"/>
      <c r="C8" s="121" t="s">
        <v>89</v>
      </c>
      <c r="D8" s="121"/>
      <c r="E8" s="121"/>
      <c r="F8" s="121"/>
      <c r="G8" s="121"/>
      <c r="H8" s="121"/>
      <c r="I8" s="121"/>
      <c r="J8" s="121"/>
    </row>
    <row r="9" spans="1:13" s="53" customFormat="1" ht="49.5" customHeight="1" x14ac:dyDescent="0.25">
      <c r="A9" s="118"/>
      <c r="B9" s="119"/>
      <c r="C9" s="112" t="s">
        <v>185</v>
      </c>
      <c r="D9" s="113"/>
      <c r="E9" s="114"/>
      <c r="F9" s="115" t="s">
        <v>186</v>
      </c>
      <c r="G9" s="113"/>
      <c r="H9" s="113"/>
      <c r="I9" s="113"/>
      <c r="J9" s="114"/>
    </row>
    <row r="10" spans="1:13" ht="258" customHeight="1" x14ac:dyDescent="0.25">
      <c r="A10" s="127" t="s">
        <v>7</v>
      </c>
      <c r="B10" s="128"/>
      <c r="C10" s="129" t="s">
        <v>209</v>
      </c>
      <c r="D10" s="129"/>
      <c r="E10" s="129"/>
      <c r="F10" s="129"/>
      <c r="G10" s="129"/>
      <c r="H10" s="129"/>
      <c r="I10" s="129"/>
      <c r="J10" s="129"/>
    </row>
    <row r="11" spans="1:13" ht="49.5" customHeight="1" x14ac:dyDescent="0.25">
      <c r="A11" s="131" t="s">
        <v>8</v>
      </c>
      <c r="B11" s="131"/>
      <c r="C11" s="132" t="s">
        <v>134</v>
      </c>
      <c r="D11" s="133"/>
      <c r="E11" s="133"/>
      <c r="F11" s="133"/>
      <c r="G11" s="133"/>
      <c r="H11" s="133"/>
      <c r="I11" s="133"/>
      <c r="J11" s="133"/>
    </row>
    <row r="12" spans="1:13" ht="8.1" customHeight="1" x14ac:dyDescent="0.25">
      <c r="A12" s="122"/>
      <c r="B12" s="122"/>
      <c r="C12" s="122"/>
      <c r="D12" s="122"/>
      <c r="E12" s="122"/>
      <c r="F12" s="122"/>
      <c r="G12" s="122"/>
      <c r="H12" s="122"/>
      <c r="I12" s="122"/>
      <c r="J12" s="122"/>
    </row>
    <row r="13" spans="1:13" ht="28.5" customHeight="1" x14ac:dyDescent="0.25">
      <c r="A13" s="123" t="s">
        <v>9</v>
      </c>
      <c r="B13" s="123" t="s">
        <v>10</v>
      </c>
      <c r="C13" s="123"/>
      <c r="D13" s="123" t="s">
        <v>11</v>
      </c>
      <c r="E13" s="123"/>
      <c r="F13" s="123"/>
      <c r="G13" s="123"/>
      <c r="H13" s="123"/>
      <c r="I13" s="116" t="s">
        <v>33</v>
      </c>
      <c r="J13" s="117"/>
    </row>
    <row r="14" spans="1:13" ht="48" customHeight="1" x14ac:dyDescent="0.25">
      <c r="A14" s="130"/>
      <c r="B14" s="130"/>
      <c r="C14" s="130"/>
      <c r="D14" s="3" t="s">
        <v>206</v>
      </c>
      <c r="E14" s="89" t="s">
        <v>95</v>
      </c>
      <c r="F14" s="89" t="s">
        <v>103</v>
      </c>
      <c r="G14" s="89" t="s">
        <v>128</v>
      </c>
      <c r="H14" s="3" t="s">
        <v>207</v>
      </c>
      <c r="I14" s="118"/>
      <c r="J14" s="119"/>
    </row>
    <row r="15" spans="1:13" s="25" customFormat="1" ht="63" customHeight="1" x14ac:dyDescent="0.25">
      <c r="A15" s="8">
        <v>1</v>
      </c>
      <c r="B15" s="134" t="s">
        <v>40</v>
      </c>
      <c r="C15" s="135"/>
      <c r="D15" s="4">
        <v>39900</v>
      </c>
      <c r="E15" s="22">
        <v>39900</v>
      </c>
      <c r="F15" s="22">
        <v>42000</v>
      </c>
      <c r="G15" s="22">
        <v>44000</v>
      </c>
      <c r="H15" s="22">
        <v>39900</v>
      </c>
      <c r="I15" s="136" t="s">
        <v>117</v>
      </c>
      <c r="J15" s="137"/>
    </row>
    <row r="16" spans="1:13" s="25" customFormat="1" ht="38.25" customHeight="1" x14ac:dyDescent="0.25">
      <c r="A16" s="8">
        <v>2</v>
      </c>
      <c r="B16" s="134" t="s">
        <v>91</v>
      </c>
      <c r="C16" s="135"/>
      <c r="D16" s="22">
        <v>24</v>
      </c>
      <c r="E16" s="22">
        <v>24</v>
      </c>
      <c r="F16" s="22">
        <v>24</v>
      </c>
      <c r="G16" s="22">
        <v>24</v>
      </c>
      <c r="H16" s="22">
        <v>24</v>
      </c>
      <c r="I16" s="136" t="s">
        <v>153</v>
      </c>
      <c r="J16" s="137"/>
    </row>
    <row r="17" spans="1:10" s="25" customFormat="1" ht="60" customHeight="1" x14ac:dyDescent="0.25">
      <c r="A17" s="8">
        <v>3</v>
      </c>
      <c r="B17" s="134" t="s">
        <v>154</v>
      </c>
      <c r="C17" s="135"/>
      <c r="D17" s="22">
        <v>4898</v>
      </c>
      <c r="E17" s="22">
        <f>4837+60</f>
        <v>4897</v>
      </c>
      <c r="F17" s="22">
        <f>4837+60</f>
        <v>4897</v>
      </c>
      <c r="G17" s="22">
        <f>4837+60</f>
        <v>4897</v>
      </c>
      <c r="H17" s="22">
        <f>4837+60</f>
        <v>4897</v>
      </c>
      <c r="I17" s="136" t="s">
        <v>117</v>
      </c>
      <c r="J17" s="137"/>
    </row>
    <row r="18" spans="1:10" s="25" customFormat="1" ht="83.25" customHeight="1" x14ac:dyDescent="0.25">
      <c r="A18" s="8">
        <v>4</v>
      </c>
      <c r="B18" s="134" t="s">
        <v>92</v>
      </c>
      <c r="C18" s="135"/>
      <c r="D18" s="21">
        <v>0.85</v>
      </c>
      <c r="E18" s="42">
        <v>0.85</v>
      </c>
      <c r="F18" s="42">
        <v>0.9</v>
      </c>
      <c r="G18" s="42">
        <v>0.92</v>
      </c>
      <c r="H18" s="42">
        <v>0.85</v>
      </c>
      <c r="I18" s="136" t="s">
        <v>118</v>
      </c>
      <c r="J18" s="137"/>
    </row>
  </sheetData>
  <mergeCells count="33">
    <mergeCell ref="B18:C18"/>
    <mergeCell ref="I18:J18"/>
    <mergeCell ref="I15:J15"/>
    <mergeCell ref="I16:J16"/>
    <mergeCell ref="B17:C17"/>
    <mergeCell ref="I17:J17"/>
    <mergeCell ref="B15:C15"/>
    <mergeCell ref="B16:C16"/>
    <mergeCell ref="A10:B10"/>
    <mergeCell ref="C10:J10"/>
    <mergeCell ref="A12:J12"/>
    <mergeCell ref="A13:A14"/>
    <mergeCell ref="A11:B11"/>
    <mergeCell ref="C11:J11"/>
    <mergeCell ref="D13:H13"/>
    <mergeCell ref="B13:C14"/>
    <mergeCell ref="I13:J14"/>
    <mergeCell ref="C9:E9"/>
    <mergeCell ref="F9:J9"/>
    <mergeCell ref="A8:B9"/>
    <mergeCell ref="A1:J1"/>
    <mergeCell ref="C8:J8"/>
    <mergeCell ref="A4:J4"/>
    <mergeCell ref="F5:F6"/>
    <mergeCell ref="A3:B3"/>
    <mergeCell ref="A2:B2"/>
    <mergeCell ref="C2:E2"/>
    <mergeCell ref="F2:J2"/>
    <mergeCell ref="C3:E3"/>
    <mergeCell ref="F3:J3"/>
    <mergeCell ref="A5:B6"/>
    <mergeCell ref="C5:E6"/>
    <mergeCell ref="A7:J7"/>
  </mergeCells>
  <pageMargins left="0.19685039370078741" right="0.19685039370078741" top="0.19685039370078741" bottom="0.19685039370078741" header="0.19685039370078741" footer="0.19685039370078741"/>
  <pageSetup paperSize="9" scale="85" orientation="landscape"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27"/>
  <sheetViews>
    <sheetView view="pageBreakPreview" topLeftCell="A17" zoomScale="115" zoomScaleNormal="100" zoomScaleSheetLayoutView="115" workbookViewId="0">
      <selection activeCell="B21" sqref="B21:D21"/>
    </sheetView>
  </sheetViews>
  <sheetFormatPr defaultColWidth="9.140625" defaultRowHeight="12.75" x14ac:dyDescent="0.25"/>
  <cols>
    <col min="1" max="1" width="7.7109375" style="50" customWidth="1"/>
    <col min="2" max="2" width="14.42578125" style="50" customWidth="1"/>
    <col min="3" max="3" width="8.7109375" style="50" customWidth="1"/>
    <col min="4" max="10" width="18.7109375" style="50" customWidth="1"/>
    <col min="11" max="12" width="11.28515625" style="1" customWidth="1"/>
    <col min="13" max="13" width="4.85546875" style="1" customWidth="1"/>
    <col min="14" max="15" width="11.28515625" style="1" customWidth="1"/>
    <col min="16" max="16384" width="9.140625" style="1"/>
  </cols>
  <sheetData>
    <row r="1" spans="1:17" s="20" customFormat="1" ht="30.75" customHeight="1" x14ac:dyDescent="0.25">
      <c r="A1" s="216" t="s">
        <v>20</v>
      </c>
      <c r="B1" s="216"/>
      <c r="C1" s="216"/>
      <c r="D1" s="216"/>
      <c r="E1" s="216"/>
      <c r="F1" s="216"/>
      <c r="G1" s="216"/>
      <c r="H1" s="216"/>
      <c r="I1" s="216"/>
      <c r="J1" s="216"/>
    </row>
    <row r="2" spans="1:17" ht="30.75" customHeight="1" x14ac:dyDescent="0.25">
      <c r="A2" s="123" t="s">
        <v>12</v>
      </c>
      <c r="B2" s="123"/>
      <c r="C2" s="123" t="s">
        <v>0</v>
      </c>
      <c r="D2" s="123"/>
      <c r="E2" s="123"/>
      <c r="F2" s="123" t="s">
        <v>13</v>
      </c>
      <c r="G2" s="123"/>
      <c r="H2" s="123"/>
      <c r="I2" s="123"/>
      <c r="J2" s="123"/>
    </row>
    <row r="3" spans="1:17" ht="26.25" customHeight="1" x14ac:dyDescent="0.25">
      <c r="A3" s="139" t="s">
        <v>81</v>
      </c>
      <c r="B3" s="139"/>
      <c r="C3" s="129" t="s">
        <v>83</v>
      </c>
      <c r="D3" s="129"/>
      <c r="E3" s="129"/>
      <c r="F3" s="139" t="s">
        <v>35</v>
      </c>
      <c r="G3" s="139"/>
      <c r="H3" s="139"/>
      <c r="I3" s="139"/>
      <c r="J3" s="139"/>
    </row>
    <row r="4" spans="1:17" ht="8.1" customHeight="1" x14ac:dyDescent="0.25">
      <c r="A4" s="122"/>
      <c r="B4" s="122"/>
      <c r="C4" s="122"/>
      <c r="D4" s="122"/>
      <c r="E4" s="122"/>
      <c r="F4" s="122"/>
      <c r="G4" s="122"/>
      <c r="H4" s="122"/>
      <c r="I4" s="122"/>
      <c r="J4" s="122"/>
    </row>
    <row r="5" spans="1:17" ht="39.75" customHeight="1" x14ac:dyDescent="0.25">
      <c r="A5" s="123" t="s">
        <v>15</v>
      </c>
      <c r="B5" s="123"/>
      <c r="C5" s="140" t="s">
        <v>98</v>
      </c>
      <c r="D5" s="140"/>
      <c r="E5" s="140"/>
      <c r="F5" s="123" t="s">
        <v>14</v>
      </c>
      <c r="G5" s="49" t="s">
        <v>94</v>
      </c>
      <c r="H5" s="49" t="s">
        <v>102</v>
      </c>
      <c r="I5" s="49" t="s">
        <v>127</v>
      </c>
      <c r="J5" s="49" t="s">
        <v>205</v>
      </c>
    </row>
    <row r="6" spans="1:17" ht="24.75" customHeight="1" x14ac:dyDescent="0.25">
      <c r="A6" s="124"/>
      <c r="B6" s="124"/>
      <c r="C6" s="129"/>
      <c r="D6" s="129"/>
      <c r="E6" s="129"/>
      <c r="F6" s="124"/>
      <c r="G6" s="7">
        <f>I22</f>
        <v>231500</v>
      </c>
      <c r="H6" s="7">
        <f>243072+28</f>
        <v>243100</v>
      </c>
      <c r="I6" s="7">
        <f>243072+28</f>
        <v>243100</v>
      </c>
      <c r="J6" s="7">
        <f>243072+28</f>
        <v>243100</v>
      </c>
    </row>
    <row r="7" spans="1:17" ht="8.1" customHeight="1" x14ac:dyDescent="0.25">
      <c r="A7" s="122"/>
      <c r="B7" s="122"/>
      <c r="C7" s="122"/>
      <c r="D7" s="122"/>
      <c r="E7" s="122"/>
      <c r="F7" s="122"/>
      <c r="G7" s="122"/>
      <c r="H7" s="122"/>
      <c r="I7" s="122"/>
      <c r="J7" s="122"/>
    </row>
    <row r="8" spans="1:17" ht="19.5" customHeight="1" x14ac:dyDescent="0.25">
      <c r="A8" s="141" t="s">
        <v>16</v>
      </c>
      <c r="B8" s="141"/>
      <c r="C8" s="215" t="s">
        <v>84</v>
      </c>
      <c r="D8" s="215"/>
      <c r="E8" s="215"/>
      <c r="F8" s="215"/>
      <c r="G8" s="215"/>
      <c r="H8" s="215"/>
      <c r="I8" s="215"/>
      <c r="J8" s="215"/>
    </row>
    <row r="9" spans="1:17" s="98" customFormat="1" ht="144.75" customHeight="1" x14ac:dyDescent="0.25">
      <c r="A9" s="143" t="s">
        <v>17</v>
      </c>
      <c r="B9" s="144"/>
      <c r="C9" s="145" t="s">
        <v>258</v>
      </c>
      <c r="D9" s="146"/>
      <c r="E9" s="146"/>
      <c r="F9" s="146"/>
      <c r="G9" s="146"/>
      <c r="H9" s="146"/>
      <c r="I9" s="146"/>
      <c r="J9" s="147"/>
      <c r="L9" s="122"/>
      <c r="M9" s="122"/>
      <c r="N9" s="122"/>
      <c r="O9" s="122"/>
      <c r="P9" s="122"/>
      <c r="Q9" s="122"/>
    </row>
    <row r="10" spans="1:17" ht="222" customHeight="1" x14ac:dyDescent="0.25">
      <c r="A10" s="143" t="s">
        <v>17</v>
      </c>
      <c r="B10" s="144"/>
      <c r="C10" s="145" t="s">
        <v>247</v>
      </c>
      <c r="D10" s="146"/>
      <c r="E10" s="146"/>
      <c r="F10" s="146"/>
      <c r="G10" s="146"/>
      <c r="H10" s="146"/>
      <c r="I10" s="146"/>
      <c r="J10" s="147"/>
      <c r="L10" s="34"/>
      <c r="N10" s="35"/>
      <c r="O10" s="35"/>
    </row>
    <row r="11" spans="1:17" ht="45" customHeight="1" x14ac:dyDescent="0.25">
      <c r="A11" s="148" t="s">
        <v>18</v>
      </c>
      <c r="B11" s="148"/>
      <c r="C11" s="177" t="s">
        <v>165</v>
      </c>
      <c r="D11" s="191"/>
      <c r="E11" s="191"/>
      <c r="F11" s="191"/>
      <c r="G11" s="191"/>
      <c r="H11" s="191"/>
      <c r="I11" s="191"/>
      <c r="J11" s="191"/>
    </row>
    <row r="12" spans="1:17" ht="8.1" customHeight="1" x14ac:dyDescent="0.25">
      <c r="A12" s="122"/>
      <c r="B12" s="122"/>
      <c r="C12" s="122"/>
      <c r="D12" s="122"/>
      <c r="E12" s="122"/>
      <c r="F12" s="122"/>
      <c r="G12" s="122"/>
      <c r="H12" s="122"/>
      <c r="I12" s="122"/>
      <c r="J12" s="122"/>
    </row>
    <row r="13" spans="1:17" ht="16.5" customHeight="1" x14ac:dyDescent="0.25">
      <c r="A13" s="123" t="s">
        <v>9</v>
      </c>
      <c r="B13" s="123" t="s">
        <v>19</v>
      </c>
      <c r="C13" s="123"/>
      <c r="D13" s="123"/>
      <c r="E13" s="123"/>
      <c r="F13" s="123" t="s">
        <v>11</v>
      </c>
      <c r="G13" s="123"/>
      <c r="H13" s="116" t="s">
        <v>33</v>
      </c>
      <c r="I13" s="151"/>
      <c r="J13" s="117"/>
    </row>
    <row r="14" spans="1:17" ht="32.25" customHeight="1" x14ac:dyDescent="0.25">
      <c r="A14" s="130"/>
      <c r="B14" s="130"/>
      <c r="C14" s="130"/>
      <c r="D14" s="130"/>
      <c r="E14" s="130"/>
      <c r="F14" s="52" t="s">
        <v>208</v>
      </c>
      <c r="G14" s="52" t="s">
        <v>95</v>
      </c>
      <c r="H14" s="118"/>
      <c r="I14" s="152"/>
      <c r="J14" s="119"/>
    </row>
    <row r="15" spans="1:17" ht="17.25" customHeight="1" x14ac:dyDescent="0.25">
      <c r="A15" s="4">
        <v>1</v>
      </c>
      <c r="B15" s="153" t="s">
        <v>85</v>
      </c>
      <c r="C15" s="153"/>
      <c r="D15" s="153"/>
      <c r="E15" s="153"/>
      <c r="F15" s="4">
        <v>68</v>
      </c>
      <c r="G15" s="22">
        <v>66</v>
      </c>
      <c r="H15" s="217" t="s">
        <v>119</v>
      </c>
      <c r="I15" s="218"/>
      <c r="J15" s="218"/>
    </row>
    <row r="16" spans="1:17" ht="8.1" customHeight="1" x14ac:dyDescent="0.25">
      <c r="A16" s="122"/>
      <c r="B16" s="122"/>
      <c r="C16" s="122"/>
      <c r="D16" s="122"/>
      <c r="E16" s="122"/>
      <c r="F16" s="122"/>
      <c r="G16" s="122"/>
      <c r="H16" s="122"/>
      <c r="I16" s="122"/>
      <c r="J16" s="122"/>
    </row>
    <row r="17" spans="1:15" ht="21" customHeight="1" x14ac:dyDescent="0.25">
      <c r="A17" s="123" t="s">
        <v>9</v>
      </c>
      <c r="B17" s="123" t="s">
        <v>21</v>
      </c>
      <c r="C17" s="123"/>
      <c r="D17" s="123"/>
      <c r="E17" s="123" t="s">
        <v>22</v>
      </c>
      <c r="F17" s="123"/>
      <c r="G17" s="123"/>
      <c r="H17" s="123" t="s">
        <v>25</v>
      </c>
      <c r="I17" s="123" t="s">
        <v>26</v>
      </c>
      <c r="J17" s="123"/>
      <c r="L17" s="15" t="s">
        <v>26</v>
      </c>
      <c r="O17" s="15" t="s">
        <v>26</v>
      </c>
    </row>
    <row r="18" spans="1:15" ht="32.25" customHeight="1" x14ac:dyDescent="0.25">
      <c r="A18" s="130"/>
      <c r="B18" s="130"/>
      <c r="C18" s="130"/>
      <c r="D18" s="130"/>
      <c r="E18" s="52" t="s">
        <v>23</v>
      </c>
      <c r="F18" s="52" t="s">
        <v>24</v>
      </c>
      <c r="G18" s="52" t="s">
        <v>29</v>
      </c>
      <c r="H18" s="130"/>
      <c r="I18" s="52" t="s">
        <v>27</v>
      </c>
      <c r="J18" s="52" t="s">
        <v>28</v>
      </c>
      <c r="K18" s="3" t="s">
        <v>24</v>
      </c>
      <c r="L18" s="3" t="s">
        <v>27</v>
      </c>
      <c r="N18" s="3" t="s">
        <v>24</v>
      </c>
      <c r="O18" s="3" t="s">
        <v>27</v>
      </c>
    </row>
    <row r="19" spans="1:15" s="11" customFormat="1" ht="30.75" customHeight="1" x14ac:dyDescent="0.25">
      <c r="A19" s="9">
        <v>1</v>
      </c>
      <c r="B19" s="219" t="s">
        <v>135</v>
      </c>
      <c r="C19" s="220"/>
      <c r="D19" s="221"/>
      <c r="E19" s="105" t="s">
        <v>133</v>
      </c>
      <c r="F19" s="106"/>
      <c r="G19" s="107" t="e">
        <f>I19/F19</f>
        <v>#DIV/0!</v>
      </c>
      <c r="H19" s="108">
        <f>I19+J19</f>
        <v>0</v>
      </c>
      <c r="I19" s="106"/>
      <c r="J19" s="108"/>
      <c r="K19" s="9">
        <v>14400</v>
      </c>
      <c r="L19" s="9">
        <v>201600</v>
      </c>
      <c r="N19" s="28">
        <f>F19-K19</f>
        <v>-14400</v>
      </c>
      <c r="O19" s="28">
        <f>I19-L19</f>
        <v>-201600</v>
      </c>
    </row>
    <row r="20" spans="1:15" s="99" customFormat="1" ht="32.25" customHeight="1" x14ac:dyDescent="0.25">
      <c r="A20" s="9">
        <v>2</v>
      </c>
      <c r="B20" s="158" t="s">
        <v>136</v>
      </c>
      <c r="C20" s="159"/>
      <c r="D20" s="160"/>
      <c r="E20" s="5" t="s">
        <v>72</v>
      </c>
      <c r="F20" s="9">
        <v>36</v>
      </c>
      <c r="G20" s="14">
        <f>I20/F20</f>
        <v>1152.7777777777778</v>
      </c>
      <c r="H20" s="12">
        <f>I20+J20</f>
        <v>41500</v>
      </c>
      <c r="I20" s="9">
        <v>41500</v>
      </c>
      <c r="J20" s="12"/>
      <c r="K20" s="9">
        <v>36</v>
      </c>
      <c r="L20" s="9">
        <v>41500</v>
      </c>
      <c r="N20" s="28">
        <f>F20-K20</f>
        <v>0</v>
      </c>
      <c r="O20" s="28">
        <f>I20-L20</f>
        <v>0</v>
      </c>
    </row>
    <row r="21" spans="1:15" s="11" customFormat="1" ht="44.25" customHeight="1" x14ac:dyDescent="0.25">
      <c r="A21" s="9">
        <v>3</v>
      </c>
      <c r="B21" s="158" t="s">
        <v>240</v>
      </c>
      <c r="C21" s="159"/>
      <c r="D21" s="160"/>
      <c r="E21" s="5" t="s">
        <v>133</v>
      </c>
      <c r="F21" s="9">
        <v>15200</v>
      </c>
      <c r="G21" s="14">
        <f>I21/F21</f>
        <v>12.5</v>
      </c>
      <c r="H21" s="12">
        <f>I21+J21</f>
        <v>190000</v>
      </c>
      <c r="I21" s="9">
        <v>190000</v>
      </c>
      <c r="J21" s="12"/>
      <c r="K21" s="9">
        <v>15200</v>
      </c>
      <c r="L21" s="9">
        <v>190000</v>
      </c>
      <c r="N21" s="28">
        <f>F21-K21</f>
        <v>0</v>
      </c>
      <c r="O21" s="28">
        <f>I21-L21</f>
        <v>0</v>
      </c>
    </row>
    <row r="22" spans="1:15" ht="22.5" customHeight="1" x14ac:dyDescent="0.25">
      <c r="A22" s="168" t="s">
        <v>30</v>
      </c>
      <c r="B22" s="169"/>
      <c r="C22" s="169"/>
      <c r="D22" s="170"/>
      <c r="E22" s="171"/>
      <c r="F22" s="172"/>
      <c r="G22" s="173"/>
      <c r="H22" s="6">
        <f>SUM(H19:H21)</f>
        <v>231500</v>
      </c>
      <c r="I22" s="6">
        <f>SUM(I19:I21)</f>
        <v>231500</v>
      </c>
      <c r="J22" s="6">
        <f>SUM(J19:J21)</f>
        <v>0</v>
      </c>
      <c r="K22" s="6">
        <f t="shared" ref="K22" si="0">SUM(K19:K21)</f>
        <v>29636</v>
      </c>
      <c r="L22" s="6">
        <f>SUM(L19:L21)</f>
        <v>433100</v>
      </c>
      <c r="N22" s="6">
        <f t="shared" ref="N22" si="1">SUM(N19:N21)</f>
        <v>-14400</v>
      </c>
      <c r="O22" s="6">
        <f>SUM(O19:O21)</f>
        <v>-201600</v>
      </c>
    </row>
    <row r="23" spans="1:15" ht="8.1" customHeight="1" x14ac:dyDescent="0.25">
      <c r="A23" s="122"/>
      <c r="B23" s="122"/>
      <c r="C23" s="122"/>
      <c r="D23" s="122"/>
      <c r="E23" s="122"/>
      <c r="F23" s="122"/>
      <c r="G23" s="122"/>
      <c r="H23" s="122"/>
      <c r="I23" s="122"/>
      <c r="J23" s="122"/>
      <c r="N23" s="9"/>
      <c r="O23" s="9"/>
    </row>
    <row r="24" spans="1:15" ht="24.75" customHeight="1" x14ac:dyDescent="0.25">
      <c r="A24" s="49" t="s">
        <v>9</v>
      </c>
      <c r="B24" s="174" t="s">
        <v>31</v>
      </c>
      <c r="C24" s="174"/>
      <c r="D24" s="174"/>
      <c r="E24" s="174"/>
      <c r="F24" s="174"/>
      <c r="G24" s="174"/>
      <c r="H24" s="174"/>
      <c r="I24" s="174"/>
      <c r="J24" s="174"/>
    </row>
    <row r="25" spans="1:15" s="98" customFormat="1" ht="170.25" customHeight="1" x14ac:dyDescent="0.25">
      <c r="A25" s="13">
        <v>1</v>
      </c>
      <c r="B25" s="183" t="s">
        <v>242</v>
      </c>
      <c r="C25" s="184"/>
      <c r="D25" s="184"/>
      <c r="E25" s="184"/>
      <c r="F25" s="184"/>
      <c r="G25" s="184"/>
      <c r="H25" s="184"/>
      <c r="I25" s="184"/>
      <c r="J25" s="184"/>
      <c r="L25" s="98">
        <f>30+12+48</f>
        <v>90</v>
      </c>
      <c r="O25" s="23"/>
    </row>
    <row r="26" spans="1:15" ht="140.25" customHeight="1" x14ac:dyDescent="0.25">
      <c r="A26" s="13">
        <v>1</v>
      </c>
      <c r="B26" s="183" t="s">
        <v>241</v>
      </c>
      <c r="C26" s="184"/>
      <c r="D26" s="184"/>
      <c r="E26" s="184"/>
      <c r="F26" s="184"/>
      <c r="G26" s="184"/>
      <c r="H26" s="184"/>
      <c r="I26" s="184"/>
      <c r="J26" s="184"/>
      <c r="L26" s="1">
        <f>30+12+48</f>
        <v>90</v>
      </c>
    </row>
    <row r="27" spans="1:15" ht="30.75" customHeight="1" x14ac:dyDescent="0.25">
      <c r="A27" s="51"/>
      <c r="B27" s="138"/>
      <c r="C27" s="138"/>
      <c r="D27" s="138"/>
      <c r="E27" s="138"/>
      <c r="F27" s="138"/>
      <c r="G27" s="138"/>
      <c r="H27" s="138"/>
      <c r="I27" s="138"/>
      <c r="J27" s="138"/>
    </row>
  </sheetData>
  <mergeCells count="44">
    <mergeCell ref="L9:Q9"/>
    <mergeCell ref="B27:J27"/>
    <mergeCell ref="A23:J23"/>
    <mergeCell ref="B24:J24"/>
    <mergeCell ref="B19:D19"/>
    <mergeCell ref="B21:D21"/>
    <mergeCell ref="A22:D22"/>
    <mergeCell ref="E22:G22"/>
    <mergeCell ref="B26:J26"/>
    <mergeCell ref="B20:D20"/>
    <mergeCell ref="B25:J25"/>
    <mergeCell ref="A16:J16"/>
    <mergeCell ref="A17:A18"/>
    <mergeCell ref="B17:D18"/>
    <mergeCell ref="E17:G17"/>
    <mergeCell ref="H17:H18"/>
    <mergeCell ref="I17:J17"/>
    <mergeCell ref="A13:A14"/>
    <mergeCell ref="B13:E14"/>
    <mergeCell ref="F13:G13"/>
    <mergeCell ref="H13:J14"/>
    <mergeCell ref="B15:E15"/>
    <mergeCell ref="H15:J15"/>
    <mergeCell ref="A10:B10"/>
    <mergeCell ref="C10:J10"/>
    <mergeCell ref="A11:B11"/>
    <mergeCell ref="C11:J11"/>
    <mergeCell ref="A12:J12"/>
    <mergeCell ref="A9:B9"/>
    <mergeCell ref="C9:J9"/>
    <mergeCell ref="A8:B8"/>
    <mergeCell ref="C8:J8"/>
    <mergeCell ref="A1:J1"/>
    <mergeCell ref="A2:B2"/>
    <mergeCell ref="C2:E2"/>
    <mergeCell ref="F2:J2"/>
    <mergeCell ref="A3:B3"/>
    <mergeCell ref="C3:E3"/>
    <mergeCell ref="F3:J3"/>
    <mergeCell ref="A4:J4"/>
    <mergeCell ref="A5:B6"/>
    <mergeCell ref="C5:E6"/>
    <mergeCell ref="F5:F6"/>
    <mergeCell ref="A7:J7"/>
  </mergeCells>
  <pageMargins left="0.19685039370078741" right="0.19685039370078741" top="0.19685039370078741" bottom="0.19685039370078741" header="0.19685039370078741" footer="0.19685039370078741"/>
  <pageSetup paperSize="9" scale="8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27"/>
  <sheetViews>
    <sheetView view="pageBreakPreview" topLeftCell="B13" zoomScaleNormal="100" zoomScaleSheetLayoutView="100" workbookViewId="0">
      <selection activeCell="B21" sqref="B21:D21"/>
    </sheetView>
  </sheetViews>
  <sheetFormatPr defaultColWidth="9.140625" defaultRowHeight="12.75" x14ac:dyDescent="0.25"/>
  <cols>
    <col min="1" max="1" width="7.7109375" style="84" customWidth="1"/>
    <col min="2" max="2" width="14.42578125" style="84" customWidth="1"/>
    <col min="3" max="3" width="8.7109375" style="84" customWidth="1"/>
    <col min="4" max="10" width="18.7109375" style="84" customWidth="1"/>
    <col min="11" max="11" width="6.28515625" style="37" customWidth="1"/>
    <col min="12" max="13" width="9.140625" style="37" customWidth="1"/>
    <col min="14" max="14" width="1.85546875" style="102" customWidth="1"/>
    <col min="15" max="16384" width="9.140625" style="37"/>
  </cols>
  <sheetData>
    <row r="1" spans="1:14" s="20" customFormat="1" ht="30.75" customHeight="1" x14ac:dyDescent="0.25">
      <c r="A1" s="241" t="s">
        <v>20</v>
      </c>
      <c r="B1" s="241"/>
      <c r="C1" s="241"/>
      <c r="D1" s="241"/>
      <c r="E1" s="241"/>
      <c r="F1" s="241"/>
      <c r="G1" s="241"/>
      <c r="H1" s="241"/>
      <c r="I1" s="241"/>
      <c r="J1" s="241"/>
    </row>
    <row r="2" spans="1:14" ht="30.75" customHeight="1" x14ac:dyDescent="0.25">
      <c r="A2" s="228" t="s">
        <v>12</v>
      </c>
      <c r="B2" s="228"/>
      <c r="C2" s="228" t="s">
        <v>0</v>
      </c>
      <c r="D2" s="228"/>
      <c r="E2" s="228"/>
      <c r="F2" s="228" t="s">
        <v>13</v>
      </c>
      <c r="G2" s="228"/>
      <c r="H2" s="228"/>
      <c r="I2" s="228"/>
      <c r="J2" s="228"/>
    </row>
    <row r="3" spans="1:14" ht="37.5" customHeight="1" x14ac:dyDescent="0.25">
      <c r="A3" s="242" t="s">
        <v>187</v>
      </c>
      <c r="B3" s="242"/>
      <c r="C3" s="243" t="s">
        <v>172</v>
      </c>
      <c r="D3" s="243"/>
      <c r="E3" s="243"/>
      <c r="F3" s="242" t="s">
        <v>35</v>
      </c>
      <c r="G3" s="242"/>
      <c r="H3" s="242"/>
      <c r="I3" s="242"/>
      <c r="J3" s="242"/>
    </row>
    <row r="4" spans="1:14" ht="8.1" customHeight="1" x14ac:dyDescent="0.25">
      <c r="A4" s="231"/>
      <c r="B4" s="231"/>
      <c r="C4" s="231"/>
      <c r="D4" s="231"/>
      <c r="E4" s="231"/>
      <c r="F4" s="231"/>
      <c r="G4" s="231"/>
      <c r="H4" s="231"/>
      <c r="I4" s="231"/>
      <c r="J4" s="231"/>
    </row>
    <row r="5" spans="1:14" ht="39.75" customHeight="1" x14ac:dyDescent="0.25">
      <c r="A5" s="228" t="s">
        <v>15</v>
      </c>
      <c r="B5" s="228"/>
      <c r="C5" s="245" t="s">
        <v>98</v>
      </c>
      <c r="D5" s="245"/>
      <c r="E5" s="245"/>
      <c r="F5" s="228" t="s">
        <v>14</v>
      </c>
      <c r="G5" s="77" t="s">
        <v>94</v>
      </c>
      <c r="H5" s="77" t="s">
        <v>102</v>
      </c>
      <c r="I5" s="77" t="s">
        <v>127</v>
      </c>
      <c r="J5" s="77" t="s">
        <v>205</v>
      </c>
    </row>
    <row r="6" spans="1:14" ht="24.75" customHeight="1" x14ac:dyDescent="0.25">
      <c r="A6" s="244"/>
      <c r="B6" s="244"/>
      <c r="C6" s="243"/>
      <c r="D6" s="243"/>
      <c r="E6" s="243"/>
      <c r="F6" s="244"/>
      <c r="G6" s="44">
        <f>I22</f>
        <v>368700</v>
      </c>
      <c r="H6" s="44">
        <v>354300</v>
      </c>
      <c r="I6" s="44">
        <v>354300</v>
      </c>
      <c r="J6" s="44">
        <v>354300</v>
      </c>
    </row>
    <row r="7" spans="1:14" ht="8.1" customHeight="1" x14ac:dyDescent="0.25">
      <c r="A7" s="231"/>
      <c r="B7" s="231"/>
      <c r="C7" s="231"/>
      <c r="D7" s="231"/>
      <c r="E7" s="231"/>
      <c r="F7" s="231"/>
      <c r="G7" s="231"/>
      <c r="H7" s="231"/>
      <c r="I7" s="231"/>
      <c r="J7" s="231"/>
    </row>
    <row r="8" spans="1:14" ht="42" customHeight="1" x14ac:dyDescent="0.25">
      <c r="A8" s="239" t="s">
        <v>16</v>
      </c>
      <c r="B8" s="239"/>
      <c r="C8" s="240" t="s">
        <v>227</v>
      </c>
      <c r="D8" s="240"/>
      <c r="E8" s="240"/>
      <c r="F8" s="240"/>
      <c r="G8" s="240"/>
      <c r="H8" s="240"/>
      <c r="I8" s="240"/>
      <c r="J8" s="240"/>
    </row>
    <row r="9" spans="1:14" s="62" customFormat="1" ht="309" customHeight="1" x14ac:dyDescent="0.25">
      <c r="A9" s="224" t="s">
        <v>17</v>
      </c>
      <c r="B9" s="225"/>
      <c r="C9" s="145" t="s">
        <v>237</v>
      </c>
      <c r="D9" s="146"/>
      <c r="E9" s="146"/>
      <c r="F9" s="146"/>
      <c r="G9" s="146"/>
      <c r="H9" s="146"/>
      <c r="I9" s="146"/>
      <c r="J9" s="147"/>
      <c r="N9" s="102"/>
    </row>
    <row r="10" spans="1:14" ht="105.75" customHeight="1" x14ac:dyDescent="0.25">
      <c r="A10" s="224" t="s">
        <v>17</v>
      </c>
      <c r="B10" s="225"/>
      <c r="C10" s="145" t="s">
        <v>259</v>
      </c>
      <c r="D10" s="146"/>
      <c r="E10" s="146"/>
      <c r="F10" s="146"/>
      <c r="G10" s="146"/>
      <c r="H10" s="146"/>
      <c r="I10" s="146"/>
      <c r="J10" s="147"/>
      <c r="K10" s="43"/>
    </row>
    <row r="11" spans="1:14" ht="60.75" customHeight="1" x14ac:dyDescent="0.25">
      <c r="A11" s="229" t="s">
        <v>18</v>
      </c>
      <c r="B11" s="229"/>
      <c r="C11" s="149" t="s">
        <v>238</v>
      </c>
      <c r="D11" s="230"/>
      <c r="E11" s="230"/>
      <c r="F11" s="230"/>
      <c r="G11" s="230"/>
      <c r="H11" s="230"/>
      <c r="I11" s="230"/>
      <c r="J11" s="230"/>
    </row>
    <row r="12" spans="1:14" ht="8.1" customHeight="1" x14ac:dyDescent="0.25">
      <c r="A12" s="231"/>
      <c r="B12" s="231"/>
      <c r="C12" s="231"/>
      <c r="D12" s="231"/>
      <c r="E12" s="231"/>
      <c r="F12" s="231"/>
      <c r="G12" s="231"/>
      <c r="H12" s="231"/>
      <c r="I12" s="231"/>
      <c r="J12" s="231"/>
    </row>
    <row r="13" spans="1:14" ht="21" customHeight="1" x14ac:dyDescent="0.25">
      <c r="A13" s="228" t="s">
        <v>9</v>
      </c>
      <c r="B13" s="228" t="s">
        <v>19</v>
      </c>
      <c r="C13" s="228"/>
      <c r="D13" s="228"/>
      <c r="E13" s="228"/>
      <c r="F13" s="228" t="s">
        <v>11</v>
      </c>
      <c r="G13" s="228"/>
      <c r="H13" s="233" t="s">
        <v>33</v>
      </c>
      <c r="I13" s="234"/>
      <c r="J13" s="235"/>
    </row>
    <row r="14" spans="1:14" ht="32.25" customHeight="1" x14ac:dyDescent="0.25">
      <c r="A14" s="232"/>
      <c r="B14" s="232"/>
      <c r="C14" s="232"/>
      <c r="D14" s="232"/>
      <c r="E14" s="232"/>
      <c r="F14" s="78" t="s">
        <v>208</v>
      </c>
      <c r="G14" s="78" t="s">
        <v>95</v>
      </c>
      <c r="H14" s="236"/>
      <c r="I14" s="237"/>
      <c r="J14" s="238"/>
    </row>
    <row r="15" spans="1:14" s="62" customFormat="1" ht="24.75" customHeight="1" x14ac:dyDescent="0.25">
      <c r="A15" s="79">
        <v>1</v>
      </c>
      <c r="B15" s="223" t="s">
        <v>177</v>
      </c>
      <c r="C15" s="223"/>
      <c r="D15" s="223"/>
      <c r="E15" s="223"/>
      <c r="F15" s="79">
        <v>60</v>
      </c>
      <c r="G15" s="79">
        <f>F20</f>
        <v>80</v>
      </c>
      <c r="H15" s="226" t="s">
        <v>178</v>
      </c>
      <c r="I15" s="227"/>
      <c r="J15" s="227"/>
      <c r="N15" s="102"/>
    </row>
    <row r="16" spans="1:14" ht="24.75" customHeight="1" x14ac:dyDescent="0.25">
      <c r="A16" s="79">
        <v>2</v>
      </c>
      <c r="B16" s="223" t="s">
        <v>193</v>
      </c>
      <c r="C16" s="223"/>
      <c r="D16" s="223"/>
      <c r="E16" s="223"/>
      <c r="F16" s="79">
        <v>80</v>
      </c>
      <c r="G16" s="111">
        <v>80</v>
      </c>
      <c r="H16" s="226" t="s">
        <v>178</v>
      </c>
      <c r="I16" s="227"/>
      <c r="J16" s="227"/>
    </row>
    <row r="17" spans="1:16" ht="8.1" customHeight="1" x14ac:dyDescent="0.25">
      <c r="A17" s="231"/>
      <c r="B17" s="231"/>
      <c r="C17" s="231"/>
      <c r="D17" s="231"/>
      <c r="E17" s="231"/>
      <c r="F17" s="231"/>
      <c r="G17" s="231"/>
      <c r="H17" s="231"/>
      <c r="I17" s="231"/>
      <c r="J17" s="231"/>
    </row>
    <row r="18" spans="1:16" ht="21" customHeight="1" x14ac:dyDescent="0.25">
      <c r="A18" s="228" t="s">
        <v>9</v>
      </c>
      <c r="B18" s="228" t="s">
        <v>21</v>
      </c>
      <c r="C18" s="228"/>
      <c r="D18" s="228"/>
      <c r="E18" s="228" t="s">
        <v>22</v>
      </c>
      <c r="F18" s="228"/>
      <c r="G18" s="228"/>
      <c r="H18" s="228" t="s">
        <v>25</v>
      </c>
      <c r="I18" s="228" t="s">
        <v>26</v>
      </c>
      <c r="J18" s="228"/>
    </row>
    <row r="19" spans="1:16" ht="32.25" customHeight="1" x14ac:dyDescent="0.25">
      <c r="A19" s="232"/>
      <c r="B19" s="232"/>
      <c r="C19" s="232"/>
      <c r="D19" s="232"/>
      <c r="E19" s="78" t="s">
        <v>23</v>
      </c>
      <c r="F19" s="78" t="s">
        <v>24</v>
      </c>
      <c r="G19" s="78" t="s">
        <v>29</v>
      </c>
      <c r="H19" s="232"/>
      <c r="I19" s="78" t="s">
        <v>27</v>
      </c>
      <c r="J19" s="78" t="s">
        <v>28</v>
      </c>
    </row>
    <row r="20" spans="1:16" s="11" customFormat="1" ht="30.75" customHeight="1" x14ac:dyDescent="0.25">
      <c r="A20" s="47">
        <v>1</v>
      </c>
      <c r="B20" s="212" t="s">
        <v>179</v>
      </c>
      <c r="C20" s="213"/>
      <c r="D20" s="214"/>
      <c r="E20" s="46" t="s">
        <v>48</v>
      </c>
      <c r="F20" s="47">
        <v>80</v>
      </c>
      <c r="G20" s="80">
        <f>I20/F20</f>
        <v>4128.75</v>
      </c>
      <c r="H20" s="48">
        <f>I20+J20</f>
        <v>330300</v>
      </c>
      <c r="I20" s="47">
        <v>330300</v>
      </c>
      <c r="J20" s="48"/>
      <c r="L20" s="57">
        <v>80</v>
      </c>
      <c r="M20" s="59">
        <v>330300</v>
      </c>
      <c r="N20" s="59"/>
      <c r="O20" s="61">
        <f>F20-L20</f>
        <v>0</v>
      </c>
      <c r="P20" s="61">
        <f>I20-M20</f>
        <v>0</v>
      </c>
    </row>
    <row r="21" spans="1:16" s="11" customFormat="1" ht="30.75" customHeight="1" x14ac:dyDescent="0.25">
      <c r="A21" s="47">
        <v>2</v>
      </c>
      <c r="B21" s="212" t="s">
        <v>248</v>
      </c>
      <c r="C21" s="213"/>
      <c r="D21" s="214"/>
      <c r="E21" s="46" t="s">
        <v>192</v>
      </c>
      <c r="F21" s="97">
        <v>960</v>
      </c>
      <c r="G21" s="80">
        <f>I21/F21</f>
        <v>40</v>
      </c>
      <c r="H21" s="48">
        <f>I21+J21</f>
        <v>38400</v>
      </c>
      <c r="I21" s="47">
        <f>24000+14400</f>
        <v>38400</v>
      </c>
      <c r="J21" s="48"/>
      <c r="L21" s="57">
        <v>600</v>
      </c>
      <c r="M21" s="59">
        <v>24000</v>
      </c>
      <c r="N21" s="59"/>
      <c r="O21" s="61">
        <f>F21-L21</f>
        <v>360</v>
      </c>
      <c r="P21" s="61">
        <f>I21-M21</f>
        <v>14400</v>
      </c>
    </row>
    <row r="22" spans="1:16" ht="22.5" customHeight="1" x14ac:dyDescent="0.25">
      <c r="A22" s="247" t="s">
        <v>30</v>
      </c>
      <c r="B22" s="248"/>
      <c r="C22" s="248"/>
      <c r="D22" s="249"/>
      <c r="E22" s="250"/>
      <c r="F22" s="251"/>
      <c r="G22" s="252"/>
      <c r="H22" s="81">
        <f>SUM(H20:H21)</f>
        <v>368700</v>
      </c>
      <c r="I22" s="81">
        <f>SUM(I20:I21)</f>
        <v>368700</v>
      </c>
      <c r="J22" s="81">
        <f>SUM(J20:J21)</f>
        <v>0</v>
      </c>
      <c r="L22" s="58"/>
      <c r="M22" s="58">
        <f>SUM(M20:M21)</f>
        <v>354300</v>
      </c>
      <c r="N22" s="58"/>
      <c r="O22" s="61">
        <f>F22-L22</f>
        <v>0</v>
      </c>
      <c r="P22" s="61">
        <f>I22-M22</f>
        <v>14400</v>
      </c>
    </row>
    <row r="23" spans="1:16" ht="8.1" customHeight="1" x14ac:dyDescent="0.25">
      <c r="A23" s="231"/>
      <c r="B23" s="231"/>
      <c r="C23" s="231"/>
      <c r="D23" s="231"/>
      <c r="E23" s="231"/>
      <c r="F23" s="231"/>
      <c r="G23" s="231"/>
      <c r="H23" s="231"/>
      <c r="I23" s="231"/>
      <c r="J23" s="231"/>
    </row>
    <row r="24" spans="1:16" ht="24.75" customHeight="1" x14ac:dyDescent="0.25">
      <c r="A24" s="77" t="s">
        <v>9</v>
      </c>
      <c r="B24" s="253" t="s">
        <v>31</v>
      </c>
      <c r="C24" s="253"/>
      <c r="D24" s="253"/>
      <c r="E24" s="253"/>
      <c r="F24" s="253"/>
      <c r="G24" s="253"/>
      <c r="H24" s="253"/>
      <c r="I24" s="253"/>
      <c r="J24" s="253"/>
    </row>
    <row r="25" spans="1:16" s="62" customFormat="1" ht="69.75" customHeight="1" x14ac:dyDescent="0.25">
      <c r="A25" s="82">
        <v>1</v>
      </c>
      <c r="B25" s="222" t="s">
        <v>249</v>
      </c>
      <c r="C25" s="223"/>
      <c r="D25" s="223"/>
      <c r="E25" s="223"/>
      <c r="F25" s="223"/>
      <c r="G25" s="223"/>
      <c r="H25" s="223"/>
      <c r="I25" s="223"/>
      <c r="J25" s="223"/>
      <c r="N25" s="102"/>
    </row>
    <row r="26" spans="1:16" ht="68.25" customHeight="1" x14ac:dyDescent="0.25">
      <c r="A26" s="82">
        <v>2</v>
      </c>
      <c r="B26" s="222" t="s">
        <v>260</v>
      </c>
      <c r="C26" s="223"/>
      <c r="D26" s="223"/>
      <c r="E26" s="223"/>
      <c r="F26" s="223"/>
      <c r="G26" s="223"/>
      <c r="H26" s="223"/>
      <c r="I26" s="223"/>
      <c r="J26" s="223"/>
    </row>
    <row r="27" spans="1:16" ht="30.75" customHeight="1" x14ac:dyDescent="0.25">
      <c r="A27" s="83"/>
      <c r="B27" s="246"/>
      <c r="C27" s="246"/>
      <c r="D27" s="246"/>
      <c r="E27" s="246"/>
      <c r="F27" s="246"/>
      <c r="G27" s="246"/>
      <c r="H27" s="246"/>
      <c r="I27" s="246"/>
      <c r="J27" s="246"/>
    </row>
  </sheetData>
  <mergeCells count="44">
    <mergeCell ref="B26:J26"/>
    <mergeCell ref="B27:J27"/>
    <mergeCell ref="A10:B10"/>
    <mergeCell ref="C10:J10"/>
    <mergeCell ref="B21:D21"/>
    <mergeCell ref="A22:D22"/>
    <mergeCell ref="E22:G22"/>
    <mergeCell ref="A23:J23"/>
    <mergeCell ref="B24:J24"/>
    <mergeCell ref="B16:E16"/>
    <mergeCell ref="H16:J16"/>
    <mergeCell ref="A17:J17"/>
    <mergeCell ref="A18:A19"/>
    <mergeCell ref="B18:D19"/>
    <mergeCell ref="E18:G18"/>
    <mergeCell ref="H18:H19"/>
    <mergeCell ref="A8:B8"/>
    <mergeCell ref="C8:J8"/>
    <mergeCell ref="A1:J1"/>
    <mergeCell ref="A2:B2"/>
    <mergeCell ref="C2:E2"/>
    <mergeCell ref="F2:J2"/>
    <mergeCell ref="A3:B3"/>
    <mergeCell ref="C3:E3"/>
    <mergeCell ref="F3:J3"/>
    <mergeCell ref="A4:J4"/>
    <mergeCell ref="A5:B6"/>
    <mergeCell ref="C5:E6"/>
    <mergeCell ref="F5:F6"/>
    <mergeCell ref="A7:J7"/>
    <mergeCell ref="B20:D20"/>
    <mergeCell ref="B25:J25"/>
    <mergeCell ref="A9:B9"/>
    <mergeCell ref="C9:J9"/>
    <mergeCell ref="B15:E15"/>
    <mergeCell ref="H15:J15"/>
    <mergeCell ref="I18:J18"/>
    <mergeCell ref="A11:B11"/>
    <mergeCell ref="C11:J11"/>
    <mergeCell ref="A12:J12"/>
    <mergeCell ref="A13:A14"/>
    <mergeCell ref="B13:E14"/>
    <mergeCell ref="F13:G13"/>
    <mergeCell ref="H13:J14"/>
  </mergeCells>
  <pageMargins left="0.19685039370078741" right="0.19685039370078741" top="0.19685039370078741" bottom="0.19685039370078741" header="0.19685039370078741" footer="0.19685039370078741"/>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42"/>
  <sheetViews>
    <sheetView view="pageBreakPreview" topLeftCell="A19" zoomScaleNormal="100" zoomScaleSheetLayoutView="100" workbookViewId="0">
      <selection activeCell="I24" sqref="I24"/>
    </sheetView>
  </sheetViews>
  <sheetFormatPr defaultColWidth="9.140625" defaultRowHeight="12.75" x14ac:dyDescent="0.25"/>
  <cols>
    <col min="1" max="1" width="7.7109375" style="1" customWidth="1"/>
    <col min="2" max="2" width="14.42578125" style="1" customWidth="1"/>
    <col min="3" max="3" width="8.7109375" style="1" customWidth="1"/>
    <col min="4" max="10" width="18.7109375" style="1" customWidth="1"/>
    <col min="11" max="11" width="15" style="1" customWidth="1"/>
    <col min="12" max="13" width="13.42578125" style="1" hidden="1" customWidth="1"/>
    <col min="14" max="14" width="11" style="1" hidden="1" customWidth="1"/>
    <col min="15" max="16" width="13.42578125" style="1" hidden="1" customWidth="1"/>
    <col min="17" max="18" width="13.42578125" style="1" customWidth="1"/>
    <col min="19" max="19" width="12.28515625" style="1" customWidth="1"/>
    <col min="20" max="20" width="10.42578125" style="1" customWidth="1"/>
    <col min="21" max="16384" width="9.140625" style="1"/>
  </cols>
  <sheetData>
    <row r="1" spans="1:11" s="20" customFormat="1" ht="30.75" customHeight="1" x14ac:dyDescent="0.25">
      <c r="A1" s="120" t="s">
        <v>20</v>
      </c>
      <c r="B1" s="120"/>
      <c r="C1" s="120"/>
      <c r="D1" s="120"/>
      <c r="E1" s="120"/>
      <c r="F1" s="120"/>
      <c r="G1" s="120"/>
      <c r="H1" s="120"/>
      <c r="I1" s="120"/>
      <c r="J1" s="120"/>
    </row>
    <row r="2" spans="1:11" ht="30.75" customHeight="1" x14ac:dyDescent="0.25">
      <c r="A2" s="123" t="s">
        <v>12</v>
      </c>
      <c r="B2" s="123"/>
      <c r="C2" s="123" t="s">
        <v>0</v>
      </c>
      <c r="D2" s="123"/>
      <c r="E2" s="123"/>
      <c r="F2" s="123" t="s">
        <v>13</v>
      </c>
      <c r="G2" s="123"/>
      <c r="H2" s="123"/>
      <c r="I2" s="123"/>
      <c r="J2" s="123"/>
    </row>
    <row r="3" spans="1:11" ht="32.25" customHeight="1" x14ac:dyDescent="0.25">
      <c r="A3" s="139" t="s">
        <v>34</v>
      </c>
      <c r="B3" s="139"/>
      <c r="C3" s="129" t="s">
        <v>36</v>
      </c>
      <c r="D3" s="129"/>
      <c r="E3" s="129"/>
      <c r="F3" s="139" t="s">
        <v>35</v>
      </c>
      <c r="G3" s="139"/>
      <c r="H3" s="139"/>
      <c r="I3" s="139"/>
      <c r="J3" s="139"/>
    </row>
    <row r="4" spans="1:11" ht="8.1" customHeight="1" x14ac:dyDescent="0.25">
      <c r="A4" s="122"/>
      <c r="B4" s="122"/>
      <c r="C4" s="122"/>
      <c r="D4" s="122"/>
      <c r="E4" s="122"/>
      <c r="F4" s="122"/>
      <c r="G4" s="122"/>
      <c r="H4" s="122"/>
      <c r="I4" s="122"/>
      <c r="J4" s="122"/>
    </row>
    <row r="5" spans="1:11" ht="39.75" customHeight="1" x14ac:dyDescent="0.25">
      <c r="A5" s="123" t="s">
        <v>15</v>
      </c>
      <c r="B5" s="123"/>
      <c r="C5" s="140" t="s">
        <v>98</v>
      </c>
      <c r="D5" s="140"/>
      <c r="E5" s="140"/>
      <c r="F5" s="123" t="s">
        <v>14</v>
      </c>
      <c r="G5" s="2" t="s">
        <v>94</v>
      </c>
      <c r="H5" s="2" t="s">
        <v>102</v>
      </c>
      <c r="I5" s="2" t="s">
        <v>127</v>
      </c>
      <c r="J5" s="2" t="s">
        <v>205</v>
      </c>
    </row>
    <row r="6" spans="1:11" ht="24.75" customHeight="1" x14ac:dyDescent="0.25">
      <c r="A6" s="124"/>
      <c r="B6" s="124"/>
      <c r="C6" s="129"/>
      <c r="D6" s="129"/>
      <c r="E6" s="129"/>
      <c r="F6" s="124"/>
      <c r="G6" s="7">
        <f>I35</f>
        <v>692470</v>
      </c>
      <c r="H6" s="7">
        <f>692470+30</f>
        <v>692500</v>
      </c>
      <c r="I6" s="7">
        <f>692470+30</f>
        <v>692500</v>
      </c>
      <c r="J6" s="7">
        <f>692470+30</f>
        <v>692500</v>
      </c>
    </row>
    <row r="7" spans="1:11" ht="8.1" customHeight="1" x14ac:dyDescent="0.25">
      <c r="A7" s="122"/>
      <c r="B7" s="122"/>
      <c r="C7" s="122"/>
      <c r="D7" s="122"/>
      <c r="E7" s="122"/>
      <c r="F7" s="122"/>
      <c r="G7" s="122"/>
      <c r="H7" s="122"/>
      <c r="I7" s="122"/>
      <c r="J7" s="122"/>
    </row>
    <row r="8" spans="1:11" ht="26.25" customHeight="1" x14ac:dyDescent="0.25">
      <c r="A8" s="141" t="s">
        <v>16</v>
      </c>
      <c r="B8" s="141"/>
      <c r="C8" s="142" t="s">
        <v>38</v>
      </c>
      <c r="D8" s="142"/>
      <c r="E8" s="142"/>
      <c r="F8" s="142"/>
      <c r="G8" s="142"/>
      <c r="H8" s="142"/>
      <c r="I8" s="142"/>
      <c r="J8" s="142"/>
    </row>
    <row r="9" spans="1:11" ht="252.75" customHeight="1" x14ac:dyDescent="0.25">
      <c r="A9" s="143" t="s">
        <v>17</v>
      </c>
      <c r="B9" s="144"/>
      <c r="C9" s="145" t="s">
        <v>210</v>
      </c>
      <c r="D9" s="146"/>
      <c r="E9" s="146"/>
      <c r="F9" s="146"/>
      <c r="G9" s="146"/>
      <c r="H9" s="146"/>
      <c r="I9" s="146"/>
      <c r="J9" s="147"/>
      <c r="K9" s="16"/>
    </row>
    <row r="10" spans="1:11" ht="51.75" customHeight="1" x14ac:dyDescent="0.25">
      <c r="A10" s="148" t="s">
        <v>18</v>
      </c>
      <c r="B10" s="148"/>
      <c r="C10" s="149" t="s">
        <v>39</v>
      </c>
      <c r="D10" s="150"/>
      <c r="E10" s="150"/>
      <c r="F10" s="150"/>
      <c r="G10" s="150"/>
      <c r="H10" s="150"/>
      <c r="I10" s="150"/>
      <c r="J10" s="150"/>
    </row>
    <row r="11" spans="1:11" ht="17.25" customHeight="1" x14ac:dyDescent="0.25">
      <c r="A11" s="122"/>
      <c r="B11" s="122"/>
      <c r="C11" s="122"/>
      <c r="D11" s="122"/>
      <c r="E11" s="122"/>
      <c r="F11" s="122"/>
      <c r="G11" s="122"/>
      <c r="H11" s="122"/>
      <c r="I11" s="122"/>
      <c r="J11" s="122"/>
    </row>
    <row r="12" spans="1:11" ht="26.25" customHeight="1" x14ac:dyDescent="0.25">
      <c r="A12" s="123" t="s">
        <v>9</v>
      </c>
      <c r="B12" s="123" t="s">
        <v>19</v>
      </c>
      <c r="C12" s="123"/>
      <c r="D12" s="123"/>
      <c r="E12" s="123"/>
      <c r="F12" s="123" t="s">
        <v>11</v>
      </c>
      <c r="G12" s="123"/>
      <c r="H12" s="116" t="s">
        <v>33</v>
      </c>
      <c r="I12" s="151"/>
      <c r="J12" s="117"/>
    </row>
    <row r="13" spans="1:11" ht="35.1" customHeight="1" x14ac:dyDescent="0.25">
      <c r="A13" s="130"/>
      <c r="B13" s="130"/>
      <c r="C13" s="130"/>
      <c r="D13" s="130"/>
      <c r="E13" s="130"/>
      <c r="F13" s="33" t="s">
        <v>208</v>
      </c>
      <c r="G13" s="33" t="s">
        <v>95</v>
      </c>
      <c r="H13" s="118"/>
      <c r="I13" s="152"/>
      <c r="J13" s="119"/>
    </row>
    <row r="14" spans="1:11" ht="26.25" customHeight="1" x14ac:dyDescent="0.25">
      <c r="A14" s="4">
        <v>1</v>
      </c>
      <c r="B14" s="153" t="s">
        <v>40</v>
      </c>
      <c r="C14" s="153"/>
      <c r="D14" s="153"/>
      <c r="E14" s="153"/>
      <c r="F14" s="4">
        <v>17600</v>
      </c>
      <c r="G14" s="22">
        <v>16100</v>
      </c>
      <c r="H14" s="136" t="s">
        <v>109</v>
      </c>
      <c r="I14" s="154"/>
      <c r="J14" s="154"/>
    </row>
    <row r="15" spans="1:11" ht="35.1" customHeight="1" x14ac:dyDescent="0.25">
      <c r="A15" s="4">
        <v>2</v>
      </c>
      <c r="B15" s="153" t="s">
        <v>180</v>
      </c>
      <c r="C15" s="153"/>
      <c r="D15" s="153"/>
      <c r="E15" s="153"/>
      <c r="F15" s="4">
        <v>5</v>
      </c>
      <c r="G15" s="4">
        <v>5</v>
      </c>
      <c r="H15" s="136" t="s">
        <v>110</v>
      </c>
      <c r="I15" s="154"/>
      <c r="J15" s="154"/>
    </row>
    <row r="16" spans="1:11" ht="21" customHeight="1" x14ac:dyDescent="0.25">
      <c r="A16" s="122"/>
      <c r="B16" s="122"/>
      <c r="C16" s="122"/>
      <c r="D16" s="122"/>
      <c r="E16" s="122"/>
      <c r="F16" s="122"/>
      <c r="G16" s="122"/>
      <c r="H16" s="122"/>
      <c r="I16" s="122"/>
      <c r="J16" s="122"/>
    </row>
    <row r="17" spans="1:16" ht="23.25" customHeight="1" x14ac:dyDescent="0.25">
      <c r="A17" s="123" t="s">
        <v>9</v>
      </c>
      <c r="B17" s="123" t="s">
        <v>21</v>
      </c>
      <c r="C17" s="123"/>
      <c r="D17" s="123"/>
      <c r="E17" s="123" t="s">
        <v>22</v>
      </c>
      <c r="F17" s="123"/>
      <c r="G17" s="123"/>
      <c r="H17" s="123" t="s">
        <v>25</v>
      </c>
      <c r="I17" s="123" t="s">
        <v>26</v>
      </c>
      <c r="J17" s="123"/>
    </row>
    <row r="18" spans="1:16" ht="35.1" customHeight="1" x14ac:dyDescent="0.25">
      <c r="A18" s="130"/>
      <c r="B18" s="130"/>
      <c r="C18" s="130"/>
      <c r="D18" s="130"/>
      <c r="E18" s="3" t="s">
        <v>23</v>
      </c>
      <c r="F18" s="3" t="s">
        <v>24</v>
      </c>
      <c r="G18" s="3" t="s">
        <v>29</v>
      </c>
      <c r="H18" s="130"/>
      <c r="I18" s="3" t="s">
        <v>27</v>
      </c>
      <c r="J18" s="3" t="s">
        <v>28</v>
      </c>
      <c r="L18" s="55" t="s">
        <v>24</v>
      </c>
      <c r="M18" s="55" t="s">
        <v>27</v>
      </c>
      <c r="O18" s="55" t="s">
        <v>24</v>
      </c>
      <c r="P18" s="55" t="s">
        <v>27</v>
      </c>
    </row>
    <row r="19" spans="1:16" s="11" customFormat="1" ht="35.1" customHeight="1" x14ac:dyDescent="0.25">
      <c r="A19" s="12">
        <v>1</v>
      </c>
      <c r="B19" s="155" t="s">
        <v>41</v>
      </c>
      <c r="C19" s="156"/>
      <c r="D19" s="157"/>
      <c r="E19" s="18"/>
      <c r="F19" s="12">
        <f>SUM(F20:F22)</f>
        <v>12100</v>
      </c>
      <c r="G19" s="12"/>
      <c r="H19" s="12">
        <f>I19+J19</f>
        <v>385150</v>
      </c>
      <c r="I19" s="12">
        <f>SUM(I20:I22)</f>
        <v>385150</v>
      </c>
      <c r="J19" s="12"/>
      <c r="L19" s="56">
        <f>SUM(L20:L22)</f>
        <v>17600</v>
      </c>
      <c r="M19" s="56">
        <f>SUM(M20:M22)</f>
        <v>554400</v>
      </c>
      <c r="O19" s="56">
        <f>F19-L19</f>
        <v>-5500</v>
      </c>
      <c r="P19" s="56">
        <f>I19-M19</f>
        <v>-169250</v>
      </c>
    </row>
    <row r="20" spans="1:16" s="11" customFormat="1" ht="31.5" customHeight="1" x14ac:dyDescent="0.25">
      <c r="A20" s="9"/>
      <c r="B20" s="158" t="s">
        <v>42</v>
      </c>
      <c r="C20" s="159"/>
      <c r="D20" s="160"/>
      <c r="E20" s="5" t="s">
        <v>48</v>
      </c>
      <c r="F20" s="9">
        <v>2200</v>
      </c>
      <c r="G20" s="9">
        <f>I20/F20</f>
        <v>31.5</v>
      </c>
      <c r="H20" s="9">
        <f>I20+J20</f>
        <v>69300</v>
      </c>
      <c r="I20" s="9">
        <v>69300</v>
      </c>
      <c r="J20" s="12"/>
      <c r="L20" s="57">
        <v>2200</v>
      </c>
      <c r="M20" s="57">
        <v>69300</v>
      </c>
      <c r="O20" s="56">
        <f t="shared" ref="O20:O33" si="0">F20-L20</f>
        <v>0</v>
      </c>
      <c r="P20" s="56">
        <f t="shared" ref="P20:P35" si="1">I20-M20</f>
        <v>0</v>
      </c>
    </row>
    <row r="21" spans="1:16" s="11" customFormat="1" ht="41.25" customHeight="1" x14ac:dyDescent="0.25">
      <c r="A21" s="9"/>
      <c r="B21" s="158" t="s">
        <v>211</v>
      </c>
      <c r="C21" s="159"/>
      <c r="D21" s="160"/>
      <c r="E21" s="5" t="s">
        <v>48</v>
      </c>
      <c r="F21" s="9">
        <v>1900</v>
      </c>
      <c r="G21" s="9">
        <f t="shared" ref="G21:G22" si="2">I21/F21</f>
        <v>31.5</v>
      </c>
      <c r="H21" s="9">
        <f t="shared" ref="H21:H28" si="3">I21+J21</f>
        <v>59850</v>
      </c>
      <c r="I21" s="9">
        <v>59850</v>
      </c>
      <c r="J21" s="12"/>
      <c r="K21" s="36"/>
      <c r="L21" s="57">
        <v>1900</v>
      </c>
      <c r="M21" s="57">
        <v>59850</v>
      </c>
      <c r="O21" s="56">
        <f t="shared" si="0"/>
        <v>0</v>
      </c>
      <c r="P21" s="56">
        <f t="shared" si="1"/>
        <v>0</v>
      </c>
    </row>
    <row r="22" spans="1:16" s="11" customFormat="1" ht="45" customHeight="1" x14ac:dyDescent="0.25">
      <c r="A22" s="9"/>
      <c r="B22" s="158" t="s">
        <v>129</v>
      </c>
      <c r="C22" s="159"/>
      <c r="D22" s="160"/>
      <c r="E22" s="5" t="s">
        <v>48</v>
      </c>
      <c r="F22" s="9">
        <v>8000</v>
      </c>
      <c r="G22" s="9">
        <f t="shared" si="2"/>
        <v>32</v>
      </c>
      <c r="H22" s="9">
        <f>I22+J22</f>
        <v>256000</v>
      </c>
      <c r="I22" s="9">
        <v>256000</v>
      </c>
      <c r="J22" s="12"/>
      <c r="L22" s="57">
        <v>13500</v>
      </c>
      <c r="M22" s="57">
        <v>425250</v>
      </c>
      <c r="O22" s="56">
        <f t="shared" si="0"/>
        <v>-5500</v>
      </c>
      <c r="P22" s="56">
        <f t="shared" si="1"/>
        <v>-169250</v>
      </c>
    </row>
    <row r="23" spans="1:16" s="11" customFormat="1" ht="35.1" customHeight="1" x14ac:dyDescent="0.25">
      <c r="A23" s="12">
        <v>2</v>
      </c>
      <c r="B23" s="155" t="s">
        <v>155</v>
      </c>
      <c r="C23" s="156"/>
      <c r="D23" s="157"/>
      <c r="E23" s="18"/>
      <c r="F23" s="12">
        <f>SUM(F24:F26)</f>
        <v>16100</v>
      </c>
      <c r="G23" s="12">
        <v>15</v>
      </c>
      <c r="H23" s="12">
        <f>I23+J23</f>
        <v>206370</v>
      </c>
      <c r="I23" s="12">
        <f>SUM(I24:I26)</f>
        <v>206370</v>
      </c>
      <c r="J23" s="12"/>
      <c r="L23" s="56">
        <f>SUM(L24:L26)</f>
        <v>16600</v>
      </c>
      <c r="M23" s="56">
        <f>SUM(M24:M26)</f>
        <v>212370</v>
      </c>
      <c r="O23" s="56">
        <f t="shared" si="0"/>
        <v>-500</v>
      </c>
      <c r="P23" s="56">
        <f t="shared" si="1"/>
        <v>-6000</v>
      </c>
    </row>
    <row r="24" spans="1:16" s="11" customFormat="1" ht="28.5" customHeight="1" x14ac:dyDescent="0.25">
      <c r="A24" s="9"/>
      <c r="B24" s="158" t="s">
        <v>42</v>
      </c>
      <c r="C24" s="159"/>
      <c r="D24" s="160"/>
      <c r="E24" s="5" t="s">
        <v>48</v>
      </c>
      <c r="F24" s="9">
        <v>2200</v>
      </c>
      <c r="G24" s="9">
        <v>15</v>
      </c>
      <c r="H24" s="9">
        <f t="shared" si="3"/>
        <v>31590</v>
      </c>
      <c r="I24" s="9">
        <v>31590</v>
      </c>
      <c r="J24" s="12"/>
      <c r="L24" s="57">
        <v>2200</v>
      </c>
      <c r="M24" s="57">
        <v>31590</v>
      </c>
      <c r="O24" s="56">
        <f t="shared" si="0"/>
        <v>0</v>
      </c>
      <c r="P24" s="56">
        <f t="shared" si="1"/>
        <v>0</v>
      </c>
    </row>
    <row r="25" spans="1:16" s="11" customFormat="1" ht="42" customHeight="1" x14ac:dyDescent="0.25">
      <c r="A25" s="9"/>
      <c r="B25" s="158" t="s">
        <v>211</v>
      </c>
      <c r="C25" s="159"/>
      <c r="D25" s="160"/>
      <c r="E25" s="5" t="s">
        <v>48</v>
      </c>
      <c r="F25" s="9">
        <v>1900</v>
      </c>
      <c r="G25" s="9">
        <v>15</v>
      </c>
      <c r="H25" s="9">
        <f t="shared" si="3"/>
        <v>30780</v>
      </c>
      <c r="I25" s="9">
        <v>30780</v>
      </c>
      <c r="J25" s="12"/>
      <c r="L25" s="57">
        <v>1900</v>
      </c>
      <c r="M25" s="57">
        <v>30780</v>
      </c>
      <c r="O25" s="56">
        <f t="shared" si="0"/>
        <v>0</v>
      </c>
      <c r="P25" s="56">
        <f t="shared" si="1"/>
        <v>0</v>
      </c>
    </row>
    <row r="26" spans="1:16" s="11" customFormat="1" ht="45.75" customHeight="1" x14ac:dyDescent="0.25">
      <c r="A26" s="9"/>
      <c r="B26" s="158" t="s">
        <v>43</v>
      </c>
      <c r="C26" s="159"/>
      <c r="D26" s="160"/>
      <c r="E26" s="5" t="s">
        <v>48</v>
      </c>
      <c r="F26" s="9">
        <v>12000</v>
      </c>
      <c r="G26" s="9">
        <v>12</v>
      </c>
      <c r="H26" s="9">
        <v>174000</v>
      </c>
      <c r="I26" s="9">
        <v>144000</v>
      </c>
      <c r="J26" s="12"/>
      <c r="L26" s="57">
        <v>12500</v>
      </c>
      <c r="M26" s="57">
        <v>150000</v>
      </c>
      <c r="O26" s="56">
        <f>F26-L26</f>
        <v>-500</v>
      </c>
      <c r="P26" s="56">
        <f t="shared" si="1"/>
        <v>-6000</v>
      </c>
    </row>
    <row r="27" spans="1:16" s="11" customFormat="1" ht="25.5" customHeight="1" x14ac:dyDescent="0.25">
      <c r="A27" s="12">
        <v>3</v>
      </c>
      <c r="B27" s="155" t="s">
        <v>44</v>
      </c>
      <c r="C27" s="156"/>
      <c r="D27" s="157"/>
      <c r="E27" s="18"/>
      <c r="F27" s="12">
        <f>SUM(F28:F29)</f>
        <v>460</v>
      </c>
      <c r="G27" s="12">
        <f t="shared" ref="G27:G34" si="4">H27/F27</f>
        <v>60</v>
      </c>
      <c r="H27" s="12">
        <f>I27+J27</f>
        <v>27600</v>
      </c>
      <c r="I27" s="12">
        <f>SUM(I28:I29)</f>
        <v>27600</v>
      </c>
      <c r="J27" s="12"/>
      <c r="L27" s="56">
        <f>SUM(L28:L29)</f>
        <v>830</v>
      </c>
      <c r="M27" s="56">
        <f>SUM(M28:M29)</f>
        <v>49800</v>
      </c>
      <c r="O27" s="56">
        <f t="shared" si="0"/>
        <v>-370</v>
      </c>
      <c r="P27" s="56">
        <f t="shared" si="1"/>
        <v>-22200</v>
      </c>
    </row>
    <row r="28" spans="1:16" s="11" customFormat="1" ht="33" customHeight="1" x14ac:dyDescent="0.25">
      <c r="A28" s="9"/>
      <c r="B28" s="158" t="s">
        <v>42</v>
      </c>
      <c r="C28" s="159"/>
      <c r="D28" s="160"/>
      <c r="E28" s="5" t="s">
        <v>48</v>
      </c>
      <c r="F28" s="9">
        <v>160</v>
      </c>
      <c r="G28" s="9">
        <f t="shared" si="4"/>
        <v>60</v>
      </c>
      <c r="H28" s="9">
        <f t="shared" si="3"/>
        <v>9600</v>
      </c>
      <c r="I28" s="9">
        <v>9600</v>
      </c>
      <c r="J28" s="12"/>
      <c r="L28" s="57">
        <v>230</v>
      </c>
      <c r="M28" s="57">
        <v>13800</v>
      </c>
      <c r="O28" s="56">
        <f t="shared" si="0"/>
        <v>-70</v>
      </c>
      <c r="P28" s="56">
        <f t="shared" si="1"/>
        <v>-4200</v>
      </c>
    </row>
    <row r="29" spans="1:16" s="11" customFormat="1" ht="39.75" customHeight="1" x14ac:dyDescent="0.25">
      <c r="A29" s="9"/>
      <c r="B29" s="158" t="s">
        <v>45</v>
      </c>
      <c r="C29" s="159"/>
      <c r="D29" s="160"/>
      <c r="E29" s="5" t="s">
        <v>48</v>
      </c>
      <c r="F29" s="9">
        <v>300</v>
      </c>
      <c r="G29" s="9">
        <f t="shared" si="4"/>
        <v>60</v>
      </c>
      <c r="H29" s="9">
        <f t="shared" ref="H29:H34" si="5">I29+J29</f>
        <v>18000</v>
      </c>
      <c r="I29" s="9">
        <v>18000</v>
      </c>
      <c r="J29" s="12"/>
      <c r="L29" s="57">
        <v>600</v>
      </c>
      <c r="M29" s="57">
        <v>36000</v>
      </c>
      <c r="O29" s="56">
        <f t="shared" si="0"/>
        <v>-300</v>
      </c>
      <c r="P29" s="56">
        <f t="shared" si="1"/>
        <v>-18000</v>
      </c>
    </row>
    <row r="30" spans="1:16" s="11" customFormat="1" ht="69" customHeight="1" x14ac:dyDescent="0.25">
      <c r="A30" s="12">
        <v>4</v>
      </c>
      <c r="B30" s="155" t="s">
        <v>137</v>
      </c>
      <c r="C30" s="156"/>
      <c r="D30" s="157"/>
      <c r="E30" s="18"/>
      <c r="F30" s="12">
        <f>SUM(F31:F33)</f>
        <v>55</v>
      </c>
      <c r="G30" s="12">
        <f t="shared" si="4"/>
        <v>720</v>
      </c>
      <c r="H30" s="12">
        <f t="shared" si="5"/>
        <v>39600</v>
      </c>
      <c r="I30" s="12">
        <f>SUM(I31:I33)</f>
        <v>39600</v>
      </c>
      <c r="J30" s="12"/>
      <c r="L30" s="56">
        <f>SUM(L31:L33)</f>
        <v>135</v>
      </c>
      <c r="M30" s="56">
        <f>SUM(M31:M33)</f>
        <v>97200</v>
      </c>
      <c r="O30" s="56">
        <f t="shared" si="0"/>
        <v>-80</v>
      </c>
      <c r="P30" s="56">
        <f t="shared" si="1"/>
        <v>-57600</v>
      </c>
    </row>
    <row r="31" spans="1:16" s="11" customFormat="1" ht="28.5" customHeight="1" x14ac:dyDescent="0.25">
      <c r="A31" s="9"/>
      <c r="B31" s="158" t="s">
        <v>212</v>
      </c>
      <c r="C31" s="159"/>
      <c r="D31" s="160"/>
      <c r="E31" s="5" t="s">
        <v>48</v>
      </c>
      <c r="F31" s="9">
        <v>20</v>
      </c>
      <c r="G31" s="9">
        <f t="shared" si="4"/>
        <v>720</v>
      </c>
      <c r="H31" s="9">
        <f t="shared" si="5"/>
        <v>14400</v>
      </c>
      <c r="I31" s="9">
        <v>14400</v>
      </c>
      <c r="J31" s="12"/>
      <c r="L31" s="57">
        <v>30</v>
      </c>
      <c r="M31" s="57">
        <v>21600</v>
      </c>
      <c r="O31" s="56">
        <f t="shared" si="0"/>
        <v>-10</v>
      </c>
      <c r="P31" s="56">
        <f t="shared" si="1"/>
        <v>-7200</v>
      </c>
    </row>
    <row r="32" spans="1:16" s="11" customFormat="1" ht="46.5" customHeight="1" x14ac:dyDescent="0.25">
      <c r="A32" s="9"/>
      <c r="B32" s="158" t="s">
        <v>45</v>
      </c>
      <c r="C32" s="159"/>
      <c r="D32" s="160"/>
      <c r="E32" s="5" t="s">
        <v>48</v>
      </c>
      <c r="F32" s="9">
        <v>20</v>
      </c>
      <c r="G32" s="9">
        <f t="shared" si="4"/>
        <v>720</v>
      </c>
      <c r="H32" s="9">
        <f t="shared" si="5"/>
        <v>14400</v>
      </c>
      <c r="I32" s="9">
        <v>14400</v>
      </c>
      <c r="J32" s="12"/>
      <c r="L32" s="57">
        <v>60</v>
      </c>
      <c r="M32" s="57">
        <v>43200</v>
      </c>
      <c r="O32" s="56">
        <f t="shared" si="0"/>
        <v>-40</v>
      </c>
      <c r="P32" s="56">
        <f t="shared" si="1"/>
        <v>-28800</v>
      </c>
    </row>
    <row r="33" spans="1:16" s="11" customFormat="1" ht="36" customHeight="1" x14ac:dyDescent="0.25">
      <c r="A33" s="9"/>
      <c r="B33" s="158" t="s">
        <v>46</v>
      </c>
      <c r="C33" s="159"/>
      <c r="D33" s="160"/>
      <c r="E33" s="5" t="s">
        <v>48</v>
      </c>
      <c r="F33" s="9">
        <v>15</v>
      </c>
      <c r="G33" s="9">
        <f t="shared" si="4"/>
        <v>720</v>
      </c>
      <c r="H33" s="9">
        <f t="shared" si="5"/>
        <v>10800</v>
      </c>
      <c r="I33" s="9">
        <v>10800</v>
      </c>
      <c r="J33" s="12"/>
      <c r="L33" s="57">
        <v>45</v>
      </c>
      <c r="M33" s="57">
        <v>32400</v>
      </c>
      <c r="O33" s="56">
        <f t="shared" si="0"/>
        <v>-30</v>
      </c>
      <c r="P33" s="56">
        <f t="shared" si="1"/>
        <v>-21600</v>
      </c>
    </row>
    <row r="34" spans="1:16" s="11" customFormat="1" ht="56.25" customHeight="1" x14ac:dyDescent="0.25">
      <c r="A34" s="12">
        <v>5</v>
      </c>
      <c r="B34" s="155" t="s">
        <v>47</v>
      </c>
      <c r="C34" s="156"/>
      <c r="D34" s="157"/>
      <c r="E34" s="18" t="s">
        <v>48</v>
      </c>
      <c r="F34" s="12">
        <v>125</v>
      </c>
      <c r="G34" s="12">
        <f t="shared" si="4"/>
        <v>270</v>
      </c>
      <c r="H34" s="12">
        <f t="shared" si="5"/>
        <v>33750</v>
      </c>
      <c r="I34" s="12">
        <v>33750</v>
      </c>
      <c r="J34" s="12"/>
      <c r="L34" s="56">
        <v>125</v>
      </c>
      <c r="M34" s="56">
        <v>33750</v>
      </c>
      <c r="O34" s="56">
        <f>F34-L34</f>
        <v>0</v>
      </c>
      <c r="P34" s="56">
        <f t="shared" si="1"/>
        <v>0</v>
      </c>
    </row>
    <row r="35" spans="1:16" ht="35.1" customHeight="1" x14ac:dyDescent="0.25">
      <c r="A35" s="168" t="s">
        <v>30</v>
      </c>
      <c r="B35" s="169"/>
      <c r="C35" s="169"/>
      <c r="D35" s="170"/>
      <c r="E35" s="171"/>
      <c r="F35" s="172"/>
      <c r="G35" s="173"/>
      <c r="H35" s="6">
        <f>SUM(H34+H30+H27+H23+H19)</f>
        <v>692470</v>
      </c>
      <c r="I35" s="6">
        <f>SUM(I34+I30+I27+I23+I19)</f>
        <v>692470</v>
      </c>
      <c r="J35" s="6">
        <f>SUM(J34+J30+J27+J23+J19)</f>
        <v>0</v>
      </c>
      <c r="K35" s="23">
        <f>I35-I32-I31</f>
        <v>663670</v>
      </c>
      <c r="L35" s="58"/>
      <c r="M35" s="56">
        <f>SUM(M34+M30+M27+M23+M19)</f>
        <v>947520</v>
      </c>
      <c r="O35" s="56"/>
      <c r="P35" s="56">
        <f t="shared" si="1"/>
        <v>-255050</v>
      </c>
    </row>
    <row r="36" spans="1:16" ht="14.25" customHeight="1" x14ac:dyDescent="0.25">
      <c r="A36" s="122"/>
      <c r="B36" s="122"/>
      <c r="C36" s="122"/>
      <c r="D36" s="122"/>
      <c r="E36" s="122"/>
      <c r="F36" s="122"/>
      <c r="G36" s="122"/>
      <c r="H36" s="122"/>
      <c r="I36" s="122"/>
      <c r="J36" s="122"/>
    </row>
    <row r="37" spans="1:16" ht="26.25" customHeight="1" x14ac:dyDescent="0.25">
      <c r="A37" s="15" t="s">
        <v>9</v>
      </c>
      <c r="B37" s="174" t="s">
        <v>31</v>
      </c>
      <c r="C37" s="174"/>
      <c r="D37" s="174"/>
      <c r="E37" s="174"/>
      <c r="F37" s="174"/>
      <c r="G37" s="174"/>
      <c r="H37" s="174"/>
      <c r="I37" s="174"/>
      <c r="J37" s="174"/>
    </row>
    <row r="38" spans="1:16" ht="147" customHeight="1" x14ac:dyDescent="0.25">
      <c r="A38" s="26">
        <v>1</v>
      </c>
      <c r="B38" s="161" t="s">
        <v>138</v>
      </c>
      <c r="C38" s="162"/>
      <c r="D38" s="162"/>
      <c r="E38" s="162"/>
      <c r="F38" s="162"/>
      <c r="G38" s="162"/>
      <c r="H38" s="162"/>
      <c r="I38" s="162"/>
      <c r="J38" s="163"/>
    </row>
    <row r="39" spans="1:16" ht="56.25" customHeight="1" x14ac:dyDescent="0.25">
      <c r="A39" s="26">
        <v>2</v>
      </c>
      <c r="B39" s="161" t="s">
        <v>100</v>
      </c>
      <c r="C39" s="162"/>
      <c r="D39" s="162"/>
      <c r="E39" s="162"/>
      <c r="F39" s="162"/>
      <c r="G39" s="162"/>
      <c r="H39" s="162"/>
      <c r="I39" s="162"/>
      <c r="J39" s="163"/>
    </row>
    <row r="40" spans="1:16" ht="249.75" customHeight="1" x14ac:dyDescent="0.25">
      <c r="A40" s="17">
        <v>3</v>
      </c>
      <c r="B40" s="164" t="s">
        <v>213</v>
      </c>
      <c r="C40" s="165"/>
      <c r="D40" s="165"/>
      <c r="E40" s="165"/>
      <c r="F40" s="165"/>
      <c r="G40" s="165"/>
      <c r="H40" s="165"/>
      <c r="I40" s="165"/>
      <c r="J40" s="166"/>
    </row>
    <row r="41" spans="1:16" ht="25.5" customHeight="1" x14ac:dyDescent="0.25">
      <c r="A41" s="13">
        <v>4</v>
      </c>
      <c r="B41" s="167" t="s">
        <v>214</v>
      </c>
      <c r="C41" s="153"/>
      <c r="D41" s="153"/>
      <c r="E41" s="153"/>
      <c r="F41" s="153"/>
      <c r="G41" s="153"/>
      <c r="H41" s="153"/>
      <c r="I41" s="153"/>
      <c r="J41" s="153"/>
    </row>
    <row r="42" spans="1:16" ht="30.75" customHeight="1" x14ac:dyDescent="0.25">
      <c r="A42" s="10"/>
      <c r="B42" s="138"/>
      <c r="C42" s="138"/>
      <c r="D42" s="138"/>
      <c r="E42" s="138"/>
      <c r="F42" s="138"/>
      <c r="G42" s="138"/>
      <c r="H42" s="138"/>
      <c r="I42" s="138"/>
      <c r="J42" s="138"/>
    </row>
  </sheetData>
  <mergeCells count="58">
    <mergeCell ref="B34:D34"/>
    <mergeCell ref="B39:J39"/>
    <mergeCell ref="B40:J40"/>
    <mergeCell ref="B41:J41"/>
    <mergeCell ref="A35:D35"/>
    <mergeCell ref="E35:G35"/>
    <mergeCell ref="A36:J36"/>
    <mergeCell ref="B37:J37"/>
    <mergeCell ref="B38:J38"/>
    <mergeCell ref="B29:D29"/>
    <mergeCell ref="B30:D30"/>
    <mergeCell ref="B31:D31"/>
    <mergeCell ref="B32:D32"/>
    <mergeCell ref="B33:D33"/>
    <mergeCell ref="B24:D24"/>
    <mergeCell ref="B25:D25"/>
    <mergeCell ref="B26:D26"/>
    <mergeCell ref="B27:D27"/>
    <mergeCell ref="B28:D28"/>
    <mergeCell ref="B19:D19"/>
    <mergeCell ref="B20:D20"/>
    <mergeCell ref="B21:D21"/>
    <mergeCell ref="B22:D22"/>
    <mergeCell ref="B23:D23"/>
    <mergeCell ref="B15:E15"/>
    <mergeCell ref="H15:J15"/>
    <mergeCell ref="A16:J16"/>
    <mergeCell ref="A17:A18"/>
    <mergeCell ref="B17:D18"/>
    <mergeCell ref="E17:G17"/>
    <mergeCell ref="H17:H18"/>
    <mergeCell ref="A12:A13"/>
    <mergeCell ref="B12:E13"/>
    <mergeCell ref="F12:G12"/>
    <mergeCell ref="H12:J13"/>
    <mergeCell ref="B14:E14"/>
    <mergeCell ref="H14:J14"/>
    <mergeCell ref="A9:B9"/>
    <mergeCell ref="C9:J9"/>
    <mergeCell ref="A10:B10"/>
    <mergeCell ref="C10:J10"/>
    <mergeCell ref="A11:J11"/>
    <mergeCell ref="B42:J42"/>
    <mergeCell ref="I17:J17"/>
    <mergeCell ref="A1:J1"/>
    <mergeCell ref="A2:B2"/>
    <mergeCell ref="C2:E2"/>
    <mergeCell ref="F2:J2"/>
    <mergeCell ref="A3:B3"/>
    <mergeCell ref="C3:E3"/>
    <mergeCell ref="F3:J3"/>
    <mergeCell ref="A4:J4"/>
    <mergeCell ref="A5:B6"/>
    <mergeCell ref="C5:E6"/>
    <mergeCell ref="F5:F6"/>
    <mergeCell ref="A7:J7"/>
    <mergeCell ref="A8:B8"/>
    <mergeCell ref="C8:J8"/>
  </mergeCells>
  <pageMargins left="0.19685039370078741" right="0.19685039370078741" top="0.19685039370078741" bottom="0.19685039370078741" header="0.19685039370078741" footer="0.19685039370078741"/>
  <pageSetup paperSize="9"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91"/>
  <sheetViews>
    <sheetView view="pageBreakPreview" topLeftCell="D45" zoomScaleNormal="100" zoomScaleSheetLayoutView="100" workbookViewId="0">
      <selection activeCell="I48" sqref="I48"/>
    </sheetView>
  </sheetViews>
  <sheetFormatPr defaultColWidth="9.140625" defaultRowHeight="12.75" x14ac:dyDescent="0.25"/>
  <cols>
    <col min="1" max="1" width="7.7109375" style="63" customWidth="1"/>
    <col min="2" max="2" width="14.42578125" style="63" customWidth="1"/>
    <col min="3" max="3" width="8.7109375" style="63" customWidth="1"/>
    <col min="4" max="10" width="18.7109375" style="63" customWidth="1"/>
    <col min="11" max="11" width="10.28515625" style="1" customWidth="1"/>
    <col min="12" max="12" width="14" style="1" customWidth="1"/>
    <col min="13" max="13" width="11.42578125" style="1" customWidth="1"/>
    <col min="14" max="14" width="9.140625" style="1" customWidth="1"/>
    <col min="15" max="15" width="11" style="29" customWidth="1"/>
    <col min="16" max="16" width="10.5703125" style="29" customWidth="1"/>
    <col min="17" max="16384" width="9.140625" style="1"/>
  </cols>
  <sheetData>
    <row r="1" spans="1:13" s="20" customFormat="1" ht="30.75" customHeight="1" x14ac:dyDescent="0.25">
      <c r="A1" s="120" t="s">
        <v>20</v>
      </c>
      <c r="B1" s="120"/>
      <c r="C1" s="120"/>
      <c r="D1" s="120"/>
      <c r="E1" s="120"/>
      <c r="F1" s="120"/>
      <c r="G1" s="120"/>
      <c r="H1" s="120"/>
      <c r="I1" s="120"/>
      <c r="J1" s="120"/>
    </row>
    <row r="2" spans="1:13" ht="30.75" customHeight="1" x14ac:dyDescent="0.25">
      <c r="A2" s="123" t="s">
        <v>12</v>
      </c>
      <c r="B2" s="123"/>
      <c r="C2" s="123" t="s">
        <v>0</v>
      </c>
      <c r="D2" s="123"/>
      <c r="E2" s="123"/>
      <c r="F2" s="123" t="s">
        <v>13</v>
      </c>
      <c r="G2" s="123"/>
      <c r="H2" s="123"/>
      <c r="I2" s="123"/>
      <c r="J2" s="123"/>
    </row>
    <row r="3" spans="1:13" ht="37.5" customHeight="1" x14ac:dyDescent="0.25">
      <c r="A3" s="139" t="s">
        <v>49</v>
      </c>
      <c r="B3" s="139"/>
      <c r="C3" s="129" t="s">
        <v>50</v>
      </c>
      <c r="D3" s="129"/>
      <c r="E3" s="129"/>
      <c r="F3" s="139" t="s">
        <v>35</v>
      </c>
      <c r="G3" s="139"/>
      <c r="H3" s="139"/>
      <c r="I3" s="139"/>
      <c r="J3" s="139"/>
    </row>
    <row r="4" spans="1:13" ht="8.1" customHeight="1" x14ac:dyDescent="0.25">
      <c r="A4" s="122"/>
      <c r="B4" s="122"/>
      <c r="C4" s="122"/>
      <c r="D4" s="122"/>
      <c r="E4" s="122"/>
      <c r="F4" s="122"/>
      <c r="G4" s="122"/>
      <c r="H4" s="122"/>
      <c r="I4" s="122"/>
      <c r="J4" s="122"/>
    </row>
    <row r="5" spans="1:13" ht="39.75" customHeight="1" x14ac:dyDescent="0.25">
      <c r="A5" s="123" t="s">
        <v>15</v>
      </c>
      <c r="B5" s="123"/>
      <c r="C5" s="140" t="s">
        <v>98</v>
      </c>
      <c r="D5" s="140"/>
      <c r="E5" s="140"/>
      <c r="F5" s="123" t="s">
        <v>14</v>
      </c>
      <c r="G5" s="2" t="s">
        <v>94</v>
      </c>
      <c r="H5" s="2" t="s">
        <v>102</v>
      </c>
      <c r="I5" s="2" t="s">
        <v>127</v>
      </c>
      <c r="J5" s="2" t="s">
        <v>205</v>
      </c>
    </row>
    <row r="6" spans="1:13" ht="24.75" customHeight="1" x14ac:dyDescent="0.25">
      <c r="A6" s="124"/>
      <c r="B6" s="124"/>
      <c r="C6" s="129"/>
      <c r="D6" s="129"/>
      <c r="E6" s="129"/>
      <c r="F6" s="124"/>
      <c r="G6" s="7">
        <f>I51</f>
        <v>4083200</v>
      </c>
      <c r="H6" s="7">
        <v>4134400</v>
      </c>
      <c r="I6" s="7">
        <v>4134400</v>
      </c>
      <c r="J6" s="7">
        <v>4134400</v>
      </c>
    </row>
    <row r="7" spans="1:13" ht="8.1" customHeight="1" x14ac:dyDescent="0.25">
      <c r="A7" s="122"/>
      <c r="B7" s="122"/>
      <c r="C7" s="122"/>
      <c r="D7" s="122"/>
      <c r="E7" s="122"/>
      <c r="F7" s="122"/>
      <c r="G7" s="122"/>
      <c r="H7" s="122"/>
      <c r="I7" s="122"/>
      <c r="J7" s="122"/>
    </row>
    <row r="8" spans="1:13" ht="27" customHeight="1" x14ac:dyDescent="0.25">
      <c r="A8" s="141" t="s">
        <v>16</v>
      </c>
      <c r="B8" s="141"/>
      <c r="C8" s="142" t="s">
        <v>51</v>
      </c>
      <c r="D8" s="142"/>
      <c r="E8" s="142"/>
      <c r="F8" s="142"/>
      <c r="G8" s="142"/>
      <c r="H8" s="142"/>
      <c r="I8" s="142"/>
      <c r="J8" s="142"/>
      <c r="K8" s="1" t="s">
        <v>140</v>
      </c>
    </row>
    <row r="9" spans="1:13" ht="276.75" customHeight="1" x14ac:dyDescent="0.25">
      <c r="A9" s="143" t="s">
        <v>17</v>
      </c>
      <c r="B9" s="144"/>
      <c r="C9" s="145" t="s">
        <v>232</v>
      </c>
      <c r="D9" s="146"/>
      <c r="E9" s="146"/>
      <c r="F9" s="146"/>
      <c r="G9" s="146"/>
      <c r="H9" s="146"/>
      <c r="I9" s="146"/>
      <c r="J9" s="147"/>
      <c r="L9" s="1" t="s">
        <v>139</v>
      </c>
      <c r="M9" s="1" t="s">
        <v>142</v>
      </c>
    </row>
    <row r="10" spans="1:13" ht="45" customHeight="1" x14ac:dyDescent="0.25">
      <c r="A10" s="148" t="s">
        <v>18</v>
      </c>
      <c r="B10" s="148"/>
      <c r="C10" s="177" t="s">
        <v>113</v>
      </c>
      <c r="D10" s="178"/>
      <c r="E10" s="178"/>
      <c r="F10" s="178"/>
      <c r="G10" s="178"/>
      <c r="H10" s="178"/>
      <c r="I10" s="178"/>
      <c r="J10" s="178"/>
    </row>
    <row r="11" spans="1:13" ht="8.1" customHeight="1" x14ac:dyDescent="0.25">
      <c r="A11" s="122"/>
      <c r="B11" s="122"/>
      <c r="C11" s="122"/>
      <c r="D11" s="122"/>
      <c r="E11" s="122"/>
      <c r="F11" s="122"/>
      <c r="G11" s="122"/>
      <c r="H11" s="122"/>
      <c r="I11" s="122"/>
      <c r="J11" s="122"/>
    </row>
    <row r="12" spans="1:13" ht="20.25" customHeight="1" x14ac:dyDescent="0.25">
      <c r="A12" s="123" t="s">
        <v>9</v>
      </c>
      <c r="B12" s="123" t="s">
        <v>19</v>
      </c>
      <c r="C12" s="123"/>
      <c r="D12" s="123"/>
      <c r="E12" s="123"/>
      <c r="F12" s="123" t="s">
        <v>11</v>
      </c>
      <c r="G12" s="123"/>
      <c r="H12" s="116" t="s">
        <v>33</v>
      </c>
      <c r="I12" s="151"/>
      <c r="J12" s="117"/>
    </row>
    <row r="13" spans="1:13" ht="32.25" customHeight="1" x14ac:dyDescent="0.25">
      <c r="A13" s="130"/>
      <c r="B13" s="130"/>
      <c r="C13" s="130"/>
      <c r="D13" s="130"/>
      <c r="E13" s="130"/>
      <c r="F13" s="66" t="s">
        <v>208</v>
      </c>
      <c r="G13" s="66" t="s">
        <v>95</v>
      </c>
      <c r="H13" s="118"/>
      <c r="I13" s="152"/>
      <c r="J13" s="119"/>
    </row>
    <row r="14" spans="1:13" ht="30" customHeight="1" x14ac:dyDescent="0.25">
      <c r="A14" s="22">
        <v>1</v>
      </c>
      <c r="B14" s="153" t="s">
        <v>130</v>
      </c>
      <c r="C14" s="153"/>
      <c r="D14" s="153"/>
      <c r="E14" s="153"/>
      <c r="F14" s="22">
        <v>101</v>
      </c>
      <c r="G14" s="22">
        <f>F25</f>
        <v>101</v>
      </c>
      <c r="H14" s="175" t="s">
        <v>131</v>
      </c>
      <c r="I14" s="176"/>
      <c r="J14" s="176"/>
    </row>
    <row r="15" spans="1:13" ht="32.25" customHeight="1" x14ac:dyDescent="0.25">
      <c r="A15" s="22">
        <v>2</v>
      </c>
      <c r="B15" s="153" t="s">
        <v>90</v>
      </c>
      <c r="C15" s="153"/>
      <c r="D15" s="153"/>
      <c r="E15" s="153"/>
      <c r="F15" s="22">
        <v>170</v>
      </c>
      <c r="G15" s="22">
        <f>F30</f>
        <v>100</v>
      </c>
      <c r="H15" s="175" t="s">
        <v>132</v>
      </c>
      <c r="I15" s="176"/>
      <c r="J15" s="176"/>
    </row>
    <row r="16" spans="1:13" ht="39" customHeight="1" x14ac:dyDescent="0.25">
      <c r="A16" s="22">
        <v>3</v>
      </c>
      <c r="B16" s="153" t="s">
        <v>141</v>
      </c>
      <c r="C16" s="153"/>
      <c r="D16" s="153"/>
      <c r="E16" s="153"/>
      <c r="F16" s="22">
        <v>100</v>
      </c>
      <c r="G16" s="22">
        <f>F31</f>
        <v>100</v>
      </c>
      <c r="H16" s="175" t="s">
        <v>131</v>
      </c>
      <c r="I16" s="176"/>
      <c r="J16" s="176"/>
    </row>
    <row r="17" spans="1:16" ht="32.25" customHeight="1" x14ac:dyDescent="0.25">
      <c r="A17" s="22">
        <v>4</v>
      </c>
      <c r="B17" s="153" t="s">
        <v>106</v>
      </c>
      <c r="C17" s="153"/>
      <c r="D17" s="153"/>
      <c r="E17" s="153"/>
      <c r="F17" s="22">
        <v>2</v>
      </c>
      <c r="G17" s="22">
        <f>F34</f>
        <v>2</v>
      </c>
      <c r="H17" s="175" t="s">
        <v>143</v>
      </c>
      <c r="I17" s="176"/>
      <c r="J17" s="176"/>
    </row>
    <row r="18" spans="1:16" ht="56.25" customHeight="1" x14ac:dyDescent="0.25">
      <c r="A18" s="22">
        <v>5</v>
      </c>
      <c r="B18" s="153" t="s">
        <v>156</v>
      </c>
      <c r="C18" s="153"/>
      <c r="D18" s="153"/>
      <c r="E18" s="153"/>
      <c r="F18" s="22">
        <v>2378</v>
      </c>
      <c r="G18" s="22">
        <f>F35</f>
        <v>2556</v>
      </c>
      <c r="H18" s="175" t="s">
        <v>132</v>
      </c>
      <c r="I18" s="176"/>
      <c r="J18" s="176"/>
      <c r="K18" s="35"/>
      <c r="L18" s="23">
        <f>G18+G19+G20+G21+G14+G15+G16+G17</f>
        <v>5187</v>
      </c>
    </row>
    <row r="19" spans="1:16" s="93" customFormat="1" ht="29.25" customHeight="1" x14ac:dyDescent="0.25">
      <c r="A19" s="22">
        <v>6</v>
      </c>
      <c r="B19" s="153" t="s">
        <v>198</v>
      </c>
      <c r="C19" s="153"/>
      <c r="D19" s="153"/>
      <c r="E19" s="153"/>
      <c r="F19" s="22">
        <v>900</v>
      </c>
      <c r="G19" s="22">
        <f>F48</f>
        <v>1000</v>
      </c>
      <c r="H19" s="175" t="s">
        <v>131</v>
      </c>
      <c r="I19" s="176"/>
      <c r="J19" s="176"/>
    </row>
    <row r="20" spans="1:16" ht="47.25" customHeight="1" x14ac:dyDescent="0.25">
      <c r="A20" s="22">
        <v>7</v>
      </c>
      <c r="B20" s="153" t="s">
        <v>120</v>
      </c>
      <c r="C20" s="153"/>
      <c r="D20" s="153"/>
      <c r="E20" s="153"/>
      <c r="F20" s="22">
        <v>25</v>
      </c>
      <c r="G20" s="22">
        <f>F49</f>
        <v>28</v>
      </c>
      <c r="H20" s="175" t="s">
        <v>131</v>
      </c>
      <c r="I20" s="176"/>
      <c r="J20" s="176"/>
    </row>
    <row r="21" spans="1:16" ht="48.75" customHeight="1" x14ac:dyDescent="0.25">
      <c r="A21" s="22">
        <v>8</v>
      </c>
      <c r="B21" s="153" t="s">
        <v>157</v>
      </c>
      <c r="C21" s="153"/>
      <c r="D21" s="153"/>
      <c r="E21" s="153"/>
      <c r="F21" s="22">
        <v>1150</v>
      </c>
      <c r="G21" s="22">
        <f>F50</f>
        <v>1300</v>
      </c>
      <c r="H21" s="175" t="s">
        <v>131</v>
      </c>
      <c r="I21" s="176"/>
      <c r="J21" s="176"/>
    </row>
    <row r="22" spans="1:16" ht="19.5" customHeight="1" x14ac:dyDescent="0.25">
      <c r="A22" s="122"/>
      <c r="B22" s="122"/>
      <c r="C22" s="122"/>
      <c r="D22" s="122"/>
      <c r="E22" s="122"/>
      <c r="F22" s="122"/>
      <c r="G22" s="122"/>
      <c r="H22" s="122"/>
      <c r="I22" s="122"/>
      <c r="J22" s="122"/>
    </row>
    <row r="23" spans="1:16" ht="30" customHeight="1" x14ac:dyDescent="0.25">
      <c r="A23" s="123" t="s">
        <v>9</v>
      </c>
      <c r="B23" s="123" t="s">
        <v>21</v>
      </c>
      <c r="C23" s="123"/>
      <c r="D23" s="123"/>
      <c r="E23" s="123" t="s">
        <v>22</v>
      </c>
      <c r="F23" s="123"/>
      <c r="G23" s="123"/>
      <c r="H23" s="123" t="s">
        <v>25</v>
      </c>
      <c r="I23" s="123" t="s">
        <v>26</v>
      </c>
      <c r="J23" s="123"/>
    </row>
    <row r="24" spans="1:16" ht="32.25" customHeight="1" x14ac:dyDescent="0.25">
      <c r="A24" s="130"/>
      <c r="B24" s="130"/>
      <c r="C24" s="130"/>
      <c r="D24" s="130"/>
      <c r="E24" s="66" t="s">
        <v>23</v>
      </c>
      <c r="F24" s="66" t="s">
        <v>24</v>
      </c>
      <c r="G24" s="66" t="s">
        <v>29</v>
      </c>
      <c r="H24" s="130"/>
      <c r="I24" s="66" t="s">
        <v>27</v>
      </c>
      <c r="J24" s="66" t="s">
        <v>28</v>
      </c>
      <c r="L24" s="58" t="s">
        <v>24</v>
      </c>
      <c r="M24" s="58" t="s">
        <v>27</v>
      </c>
      <c r="O24" s="58" t="s">
        <v>24</v>
      </c>
      <c r="P24" s="58" t="s">
        <v>27</v>
      </c>
    </row>
    <row r="25" spans="1:16" s="11" customFormat="1" ht="57.75" customHeight="1" x14ac:dyDescent="0.25">
      <c r="A25" s="12">
        <v>1</v>
      </c>
      <c r="B25" s="155" t="s">
        <v>194</v>
      </c>
      <c r="C25" s="156"/>
      <c r="D25" s="157"/>
      <c r="E25" s="18" t="s">
        <v>48</v>
      </c>
      <c r="F25" s="12">
        <v>101</v>
      </c>
      <c r="G25" s="9">
        <f t="shared" ref="G25:G48" si="0">H25/F25</f>
        <v>2000</v>
      </c>
      <c r="H25" s="12">
        <f>I25+J25</f>
        <v>202000</v>
      </c>
      <c r="I25" s="12">
        <f>SUM(I26:I29)</f>
        <v>202000</v>
      </c>
      <c r="J25" s="12"/>
      <c r="L25" s="59">
        <v>101</v>
      </c>
      <c r="M25" s="56">
        <f>SUM(M26:M29)</f>
        <v>202000</v>
      </c>
      <c r="O25" s="61">
        <f>F25-L25</f>
        <v>0</v>
      </c>
      <c r="P25" s="61">
        <f>I25-M25</f>
        <v>0</v>
      </c>
    </row>
    <row r="26" spans="1:16" s="11" customFormat="1" ht="39.75" customHeight="1" x14ac:dyDescent="0.25">
      <c r="A26" s="9"/>
      <c r="B26" s="134" t="s">
        <v>181</v>
      </c>
      <c r="C26" s="179"/>
      <c r="D26" s="135"/>
      <c r="E26" s="5" t="s">
        <v>48</v>
      </c>
      <c r="F26" s="9">
        <v>4</v>
      </c>
      <c r="G26" s="9">
        <f t="shared" si="0"/>
        <v>1000</v>
      </c>
      <c r="H26" s="12">
        <f t="shared" ref="H26:H51" si="1">I26+J26</f>
        <v>4000</v>
      </c>
      <c r="I26" s="9">
        <v>4000</v>
      </c>
      <c r="J26" s="12"/>
      <c r="L26" s="58">
        <v>4</v>
      </c>
      <c r="M26" s="57">
        <v>4000</v>
      </c>
      <c r="O26" s="61">
        <f t="shared" ref="O26:O49" si="2">F26-L26</f>
        <v>0</v>
      </c>
      <c r="P26" s="61">
        <f t="shared" ref="P26:P49" si="3">I26-M26</f>
        <v>0</v>
      </c>
    </row>
    <row r="27" spans="1:16" s="11" customFormat="1" ht="32.25" customHeight="1" x14ac:dyDescent="0.25">
      <c r="A27" s="9"/>
      <c r="B27" s="134" t="s">
        <v>52</v>
      </c>
      <c r="C27" s="179"/>
      <c r="D27" s="135"/>
      <c r="E27" s="5" t="s">
        <v>48</v>
      </c>
      <c r="F27" s="9">
        <v>12</v>
      </c>
      <c r="G27" s="9">
        <f t="shared" si="0"/>
        <v>1000</v>
      </c>
      <c r="H27" s="12">
        <f t="shared" si="1"/>
        <v>12000</v>
      </c>
      <c r="I27" s="9">
        <v>12000</v>
      </c>
      <c r="J27" s="12"/>
      <c r="L27" s="58">
        <v>12</v>
      </c>
      <c r="M27" s="57">
        <v>12000</v>
      </c>
      <c r="O27" s="61">
        <f t="shared" si="2"/>
        <v>0</v>
      </c>
      <c r="P27" s="61">
        <f t="shared" si="3"/>
        <v>0</v>
      </c>
    </row>
    <row r="28" spans="1:16" s="11" customFormat="1" ht="59.25" customHeight="1" x14ac:dyDescent="0.25">
      <c r="A28" s="9"/>
      <c r="B28" s="134" t="s">
        <v>182</v>
      </c>
      <c r="C28" s="179"/>
      <c r="D28" s="135"/>
      <c r="E28" s="5" t="s">
        <v>48</v>
      </c>
      <c r="F28" s="9">
        <v>85</v>
      </c>
      <c r="G28" s="9">
        <f t="shared" si="0"/>
        <v>1000</v>
      </c>
      <c r="H28" s="12">
        <f t="shared" si="1"/>
        <v>85000</v>
      </c>
      <c r="I28" s="9">
        <v>85000</v>
      </c>
      <c r="J28" s="12"/>
      <c r="L28" s="58">
        <v>85</v>
      </c>
      <c r="M28" s="57">
        <v>85000</v>
      </c>
      <c r="O28" s="61">
        <f t="shared" si="2"/>
        <v>0</v>
      </c>
      <c r="P28" s="61">
        <f t="shared" si="3"/>
        <v>0</v>
      </c>
    </row>
    <row r="29" spans="1:16" s="11" customFormat="1" ht="106.5" customHeight="1" x14ac:dyDescent="0.25">
      <c r="A29" s="9"/>
      <c r="B29" s="134" t="s">
        <v>183</v>
      </c>
      <c r="C29" s="179"/>
      <c r="D29" s="135"/>
      <c r="E29" s="5" t="s">
        <v>48</v>
      </c>
      <c r="F29" s="9">
        <v>101</v>
      </c>
      <c r="G29" s="9">
        <f t="shared" si="0"/>
        <v>1000</v>
      </c>
      <c r="H29" s="12">
        <f t="shared" si="1"/>
        <v>101000</v>
      </c>
      <c r="I29" s="9">
        <v>101000</v>
      </c>
      <c r="J29" s="12"/>
      <c r="L29" s="58">
        <v>101</v>
      </c>
      <c r="M29" s="57">
        <v>101000</v>
      </c>
      <c r="O29" s="61">
        <f t="shared" si="2"/>
        <v>0</v>
      </c>
      <c r="P29" s="61">
        <f t="shared" si="3"/>
        <v>0</v>
      </c>
    </row>
    <row r="30" spans="1:16" s="11" customFormat="1" ht="57.75" customHeight="1" x14ac:dyDescent="0.25">
      <c r="A30" s="12">
        <v>2</v>
      </c>
      <c r="B30" s="155" t="s">
        <v>90</v>
      </c>
      <c r="C30" s="156"/>
      <c r="D30" s="157"/>
      <c r="E30" s="18" t="s">
        <v>48</v>
      </c>
      <c r="F30" s="12">
        <v>100</v>
      </c>
      <c r="G30" s="12">
        <f t="shared" si="0"/>
        <v>800</v>
      </c>
      <c r="H30" s="12">
        <f t="shared" si="1"/>
        <v>80000</v>
      </c>
      <c r="I30" s="12">
        <v>80000</v>
      </c>
      <c r="J30" s="12"/>
      <c r="L30" s="59">
        <v>100</v>
      </c>
      <c r="M30" s="59">
        <v>80000</v>
      </c>
      <c r="O30" s="61">
        <f t="shared" si="2"/>
        <v>0</v>
      </c>
      <c r="P30" s="61">
        <f t="shared" si="3"/>
        <v>0</v>
      </c>
    </row>
    <row r="31" spans="1:16" s="11" customFormat="1" ht="72" customHeight="1" x14ac:dyDescent="0.25">
      <c r="A31" s="12">
        <v>3</v>
      </c>
      <c r="B31" s="155" t="s">
        <v>158</v>
      </c>
      <c r="C31" s="156"/>
      <c r="D31" s="157"/>
      <c r="E31" s="18" t="s">
        <v>48</v>
      </c>
      <c r="F31" s="12">
        <f>SUM(F32:F33)</f>
        <v>100</v>
      </c>
      <c r="G31" s="12">
        <f>H31/F31</f>
        <v>500</v>
      </c>
      <c r="H31" s="12">
        <f t="shared" si="1"/>
        <v>50000</v>
      </c>
      <c r="I31" s="12">
        <f>SUM(I32:I33)</f>
        <v>50000</v>
      </c>
      <c r="J31" s="12"/>
      <c r="L31" s="59">
        <f>SUM(L32:L33)</f>
        <v>100</v>
      </c>
      <c r="M31" s="59">
        <f>SUM(M32:M33)</f>
        <v>50000</v>
      </c>
      <c r="O31" s="61">
        <f t="shared" si="2"/>
        <v>0</v>
      </c>
      <c r="P31" s="61">
        <f t="shared" si="3"/>
        <v>0</v>
      </c>
    </row>
    <row r="32" spans="1:16" s="11" customFormat="1" ht="20.25" customHeight="1" x14ac:dyDescent="0.25">
      <c r="A32" s="9"/>
      <c r="B32" s="134" t="s">
        <v>53</v>
      </c>
      <c r="C32" s="179"/>
      <c r="D32" s="135"/>
      <c r="E32" s="5" t="s">
        <v>48</v>
      </c>
      <c r="F32" s="9">
        <v>30</v>
      </c>
      <c r="G32" s="9">
        <f t="shared" si="0"/>
        <v>500</v>
      </c>
      <c r="H32" s="12">
        <f t="shared" si="1"/>
        <v>15000</v>
      </c>
      <c r="I32" s="9">
        <v>15000</v>
      </c>
      <c r="J32" s="12"/>
      <c r="L32" s="58">
        <v>30</v>
      </c>
      <c r="M32" s="58">
        <v>15000</v>
      </c>
      <c r="O32" s="61">
        <f t="shared" si="2"/>
        <v>0</v>
      </c>
      <c r="P32" s="61">
        <f t="shared" si="3"/>
        <v>0</v>
      </c>
    </row>
    <row r="33" spans="1:16" s="11" customFormat="1" ht="35.25" customHeight="1" x14ac:dyDescent="0.25">
      <c r="A33" s="9"/>
      <c r="B33" s="134" t="s">
        <v>199</v>
      </c>
      <c r="C33" s="179"/>
      <c r="D33" s="135"/>
      <c r="E33" s="5" t="s">
        <v>48</v>
      </c>
      <c r="F33" s="9">
        <v>70</v>
      </c>
      <c r="G33" s="9">
        <f t="shared" si="0"/>
        <v>500</v>
      </c>
      <c r="H33" s="12">
        <f t="shared" si="1"/>
        <v>35000</v>
      </c>
      <c r="I33" s="9">
        <v>35000</v>
      </c>
      <c r="J33" s="12"/>
      <c r="L33" s="58">
        <v>70</v>
      </c>
      <c r="M33" s="58">
        <v>35000</v>
      </c>
      <c r="O33" s="61">
        <f t="shared" si="2"/>
        <v>0</v>
      </c>
      <c r="P33" s="61">
        <f t="shared" si="3"/>
        <v>0</v>
      </c>
    </row>
    <row r="34" spans="1:16" s="11" customFormat="1" ht="44.25" customHeight="1" x14ac:dyDescent="0.25">
      <c r="A34" s="12">
        <v>4</v>
      </c>
      <c r="B34" s="155" t="s">
        <v>106</v>
      </c>
      <c r="C34" s="156"/>
      <c r="D34" s="157"/>
      <c r="E34" s="18" t="s">
        <v>48</v>
      </c>
      <c r="F34" s="12">
        <v>2</v>
      </c>
      <c r="G34" s="12">
        <f t="shared" ref="G34" si="4">H34/F34</f>
        <v>1800</v>
      </c>
      <c r="H34" s="12">
        <f t="shared" si="1"/>
        <v>3600</v>
      </c>
      <c r="I34" s="12">
        <v>3600</v>
      </c>
      <c r="J34" s="12"/>
      <c r="L34" s="59">
        <v>2</v>
      </c>
      <c r="M34" s="59">
        <v>3600</v>
      </c>
      <c r="O34" s="61">
        <f t="shared" si="2"/>
        <v>0</v>
      </c>
      <c r="P34" s="61">
        <f t="shared" si="3"/>
        <v>0</v>
      </c>
    </row>
    <row r="35" spans="1:16" s="11" customFormat="1" ht="93" customHeight="1" x14ac:dyDescent="0.25">
      <c r="A35" s="12">
        <v>5</v>
      </c>
      <c r="B35" s="155" t="s">
        <v>200</v>
      </c>
      <c r="C35" s="156"/>
      <c r="D35" s="157"/>
      <c r="E35" s="18" t="s">
        <v>48</v>
      </c>
      <c r="F35" s="12">
        <f>SUM(F36:F47)</f>
        <v>2556</v>
      </c>
      <c r="G35" s="12">
        <f>H35/F35</f>
        <v>1132.1596244131456</v>
      </c>
      <c r="H35" s="12">
        <f t="shared" si="1"/>
        <v>2893800</v>
      </c>
      <c r="I35" s="12">
        <f>SUM(I36:I47)</f>
        <v>2893800</v>
      </c>
      <c r="J35" s="12">
        <f t="shared" ref="J35" si="5">SUM(J36:J48)</f>
        <v>0</v>
      </c>
      <c r="L35" s="59">
        <f>SUM(L36:L47)</f>
        <v>2556</v>
      </c>
      <c r="M35" s="61">
        <f>SUM(M36:M47)</f>
        <v>2893800</v>
      </c>
      <c r="O35" s="61">
        <f t="shared" si="2"/>
        <v>0</v>
      </c>
      <c r="P35" s="61">
        <f t="shared" si="3"/>
        <v>0</v>
      </c>
    </row>
    <row r="36" spans="1:16" s="11" customFormat="1" ht="45.75" customHeight="1" x14ac:dyDescent="0.25">
      <c r="A36" s="12"/>
      <c r="B36" s="134" t="s">
        <v>195</v>
      </c>
      <c r="C36" s="179"/>
      <c r="D36" s="135"/>
      <c r="E36" s="5" t="s">
        <v>48</v>
      </c>
      <c r="F36" s="9">
        <v>460</v>
      </c>
      <c r="G36" s="9">
        <f t="shared" si="0"/>
        <v>1200</v>
      </c>
      <c r="H36" s="12">
        <f t="shared" si="1"/>
        <v>552000</v>
      </c>
      <c r="I36" s="9">
        <v>552000</v>
      </c>
      <c r="J36" s="12"/>
      <c r="K36" s="36"/>
      <c r="L36" s="57">
        <v>460</v>
      </c>
      <c r="M36" s="57">
        <v>552000</v>
      </c>
      <c r="O36" s="61">
        <f t="shared" si="2"/>
        <v>0</v>
      </c>
      <c r="P36" s="61">
        <f t="shared" si="3"/>
        <v>0</v>
      </c>
    </row>
    <row r="37" spans="1:16" s="11" customFormat="1" ht="42.75" customHeight="1" x14ac:dyDescent="0.25">
      <c r="A37" s="9"/>
      <c r="B37" s="134" t="s">
        <v>196</v>
      </c>
      <c r="C37" s="179"/>
      <c r="D37" s="135"/>
      <c r="E37" s="5" t="s">
        <v>48</v>
      </c>
      <c r="F37" s="9">
        <v>100</v>
      </c>
      <c r="G37" s="9">
        <f t="shared" si="0"/>
        <v>1440</v>
      </c>
      <c r="H37" s="12">
        <f t="shared" si="1"/>
        <v>144000</v>
      </c>
      <c r="I37" s="9">
        <v>144000</v>
      </c>
      <c r="J37" s="12"/>
      <c r="L37" s="57">
        <v>100</v>
      </c>
      <c r="M37" s="57">
        <v>144000</v>
      </c>
      <c r="O37" s="61">
        <f t="shared" si="2"/>
        <v>0</v>
      </c>
      <c r="P37" s="61">
        <f t="shared" si="3"/>
        <v>0</v>
      </c>
    </row>
    <row r="38" spans="1:16" s="11" customFormat="1" ht="45" customHeight="1" x14ac:dyDescent="0.25">
      <c r="A38" s="9"/>
      <c r="B38" s="134" t="s">
        <v>197</v>
      </c>
      <c r="C38" s="179"/>
      <c r="D38" s="135"/>
      <c r="E38" s="5" t="s">
        <v>48</v>
      </c>
      <c r="F38" s="9">
        <v>40</v>
      </c>
      <c r="G38" s="9">
        <f t="shared" si="0"/>
        <v>2160</v>
      </c>
      <c r="H38" s="12">
        <f t="shared" si="1"/>
        <v>86400</v>
      </c>
      <c r="I38" s="9">
        <v>86400</v>
      </c>
      <c r="J38" s="12"/>
      <c r="L38" s="57">
        <v>40</v>
      </c>
      <c r="M38" s="57">
        <v>86400</v>
      </c>
      <c r="O38" s="61">
        <f t="shared" si="2"/>
        <v>0</v>
      </c>
      <c r="P38" s="61">
        <f t="shared" si="3"/>
        <v>0</v>
      </c>
    </row>
    <row r="39" spans="1:16" s="11" customFormat="1" ht="30" customHeight="1" x14ac:dyDescent="0.25">
      <c r="A39" s="9"/>
      <c r="B39" s="134" t="s">
        <v>96</v>
      </c>
      <c r="C39" s="179"/>
      <c r="D39" s="135"/>
      <c r="E39" s="5" t="s">
        <v>48</v>
      </c>
      <c r="F39" s="9">
        <v>45</v>
      </c>
      <c r="G39" s="9">
        <f t="shared" si="0"/>
        <v>1800</v>
      </c>
      <c r="H39" s="12">
        <f t="shared" si="1"/>
        <v>81000</v>
      </c>
      <c r="I39" s="9">
        <v>81000</v>
      </c>
      <c r="J39" s="12"/>
      <c r="L39" s="57">
        <v>45</v>
      </c>
      <c r="M39" s="57">
        <v>81000</v>
      </c>
      <c r="O39" s="61">
        <f t="shared" si="2"/>
        <v>0</v>
      </c>
      <c r="P39" s="61">
        <f t="shared" si="3"/>
        <v>0</v>
      </c>
    </row>
    <row r="40" spans="1:16" s="11" customFormat="1" ht="31.5" customHeight="1" x14ac:dyDescent="0.25">
      <c r="A40" s="9"/>
      <c r="B40" s="134" t="s">
        <v>54</v>
      </c>
      <c r="C40" s="179"/>
      <c r="D40" s="135"/>
      <c r="E40" s="5" t="s">
        <v>48</v>
      </c>
      <c r="F40" s="9">
        <v>25</v>
      </c>
      <c r="G40" s="9">
        <f t="shared" si="0"/>
        <v>3600</v>
      </c>
      <c r="H40" s="12">
        <f t="shared" si="1"/>
        <v>90000</v>
      </c>
      <c r="I40" s="9">
        <v>90000</v>
      </c>
      <c r="J40" s="12"/>
      <c r="L40" s="57">
        <v>25</v>
      </c>
      <c r="M40" s="57">
        <v>90000</v>
      </c>
      <c r="O40" s="61">
        <f t="shared" si="2"/>
        <v>0</v>
      </c>
      <c r="P40" s="61">
        <f t="shared" si="3"/>
        <v>0</v>
      </c>
    </row>
    <row r="41" spans="1:16" s="11" customFormat="1" ht="42.75" customHeight="1" x14ac:dyDescent="0.25">
      <c r="A41" s="9"/>
      <c r="B41" s="134" t="s">
        <v>215</v>
      </c>
      <c r="C41" s="179"/>
      <c r="D41" s="135"/>
      <c r="E41" s="5" t="s">
        <v>48</v>
      </c>
      <c r="F41" s="9">
        <v>850</v>
      </c>
      <c r="G41" s="9">
        <f t="shared" si="0"/>
        <v>720</v>
      </c>
      <c r="H41" s="12">
        <f t="shared" si="1"/>
        <v>612000</v>
      </c>
      <c r="I41" s="9">
        <v>612000</v>
      </c>
      <c r="J41" s="12"/>
      <c r="K41" s="54"/>
      <c r="L41" s="57">
        <v>850</v>
      </c>
      <c r="M41" s="57">
        <v>612000</v>
      </c>
      <c r="O41" s="61">
        <f t="shared" si="2"/>
        <v>0</v>
      </c>
      <c r="P41" s="61">
        <f t="shared" si="3"/>
        <v>0</v>
      </c>
    </row>
    <row r="42" spans="1:16" s="11" customFormat="1" ht="69" customHeight="1" x14ac:dyDescent="0.25">
      <c r="A42" s="9"/>
      <c r="B42" s="134" t="s">
        <v>231</v>
      </c>
      <c r="C42" s="179"/>
      <c r="D42" s="135"/>
      <c r="E42" s="5" t="s">
        <v>48</v>
      </c>
      <c r="F42" s="9">
        <v>50</v>
      </c>
      <c r="G42" s="9">
        <f t="shared" si="0"/>
        <v>4800</v>
      </c>
      <c r="H42" s="12">
        <f t="shared" si="1"/>
        <v>240000</v>
      </c>
      <c r="I42" s="9">
        <v>240000</v>
      </c>
      <c r="J42" s="12"/>
      <c r="L42" s="57">
        <v>50</v>
      </c>
      <c r="M42" s="57">
        <v>240000</v>
      </c>
      <c r="O42" s="61">
        <f t="shared" si="2"/>
        <v>0</v>
      </c>
      <c r="P42" s="61">
        <f t="shared" si="3"/>
        <v>0</v>
      </c>
    </row>
    <row r="43" spans="1:16" s="11" customFormat="1" ht="81.75" customHeight="1" x14ac:dyDescent="0.25">
      <c r="A43" s="9"/>
      <c r="B43" s="134" t="s">
        <v>121</v>
      </c>
      <c r="C43" s="179"/>
      <c r="D43" s="135"/>
      <c r="E43" s="5" t="s">
        <v>48</v>
      </c>
      <c r="F43" s="9">
        <v>300</v>
      </c>
      <c r="G43" s="9">
        <f>H43/F43</f>
        <v>720</v>
      </c>
      <c r="H43" s="12">
        <f t="shared" si="1"/>
        <v>216000</v>
      </c>
      <c r="I43" s="9">
        <v>216000</v>
      </c>
      <c r="J43" s="12"/>
      <c r="L43" s="57">
        <v>300</v>
      </c>
      <c r="M43" s="57">
        <v>216000</v>
      </c>
      <c r="O43" s="61">
        <f t="shared" si="2"/>
        <v>0</v>
      </c>
      <c r="P43" s="61">
        <f t="shared" si="3"/>
        <v>0</v>
      </c>
    </row>
    <row r="44" spans="1:16" s="11" customFormat="1" ht="67.5" customHeight="1" x14ac:dyDescent="0.25">
      <c r="A44" s="9"/>
      <c r="B44" s="134" t="s">
        <v>112</v>
      </c>
      <c r="C44" s="179"/>
      <c r="D44" s="135"/>
      <c r="E44" s="5" t="s">
        <v>48</v>
      </c>
      <c r="F44" s="9">
        <v>400</v>
      </c>
      <c r="G44" s="9">
        <f t="shared" si="0"/>
        <v>1440</v>
      </c>
      <c r="H44" s="12">
        <f t="shared" si="1"/>
        <v>576000</v>
      </c>
      <c r="I44" s="9">
        <v>576000</v>
      </c>
      <c r="J44" s="12"/>
      <c r="L44" s="57">
        <v>400</v>
      </c>
      <c r="M44" s="57">
        <v>576000</v>
      </c>
      <c r="O44" s="61">
        <f t="shared" si="2"/>
        <v>0</v>
      </c>
      <c r="P44" s="61">
        <f t="shared" si="3"/>
        <v>0</v>
      </c>
    </row>
    <row r="45" spans="1:16" s="11" customFormat="1" ht="53.25" customHeight="1" x14ac:dyDescent="0.25">
      <c r="A45" s="9"/>
      <c r="B45" s="134" t="s">
        <v>144</v>
      </c>
      <c r="C45" s="179"/>
      <c r="D45" s="135"/>
      <c r="E45" s="5" t="s">
        <v>48</v>
      </c>
      <c r="F45" s="9">
        <v>120</v>
      </c>
      <c r="G45" s="9">
        <f t="shared" si="0"/>
        <v>1080</v>
      </c>
      <c r="H45" s="12">
        <f t="shared" si="1"/>
        <v>129600</v>
      </c>
      <c r="I45" s="9">
        <v>129600</v>
      </c>
      <c r="J45" s="12"/>
      <c r="L45" s="57">
        <v>120</v>
      </c>
      <c r="M45" s="57">
        <v>129600</v>
      </c>
      <c r="O45" s="61">
        <f t="shared" si="2"/>
        <v>0</v>
      </c>
      <c r="P45" s="61">
        <f t="shared" si="3"/>
        <v>0</v>
      </c>
    </row>
    <row r="46" spans="1:16" s="11" customFormat="1" ht="52.5" customHeight="1" x14ac:dyDescent="0.25">
      <c r="A46" s="9"/>
      <c r="B46" s="134" t="s">
        <v>145</v>
      </c>
      <c r="C46" s="179"/>
      <c r="D46" s="135"/>
      <c r="E46" s="5" t="s">
        <v>48</v>
      </c>
      <c r="F46" s="9">
        <v>16</v>
      </c>
      <c r="G46" s="9">
        <f t="shared" si="0"/>
        <v>4800</v>
      </c>
      <c r="H46" s="12">
        <f t="shared" si="1"/>
        <v>76800</v>
      </c>
      <c r="I46" s="9">
        <v>76800</v>
      </c>
      <c r="J46" s="12"/>
      <c r="L46" s="57">
        <v>16</v>
      </c>
      <c r="M46" s="57">
        <v>76800</v>
      </c>
      <c r="O46" s="61">
        <f t="shared" si="2"/>
        <v>0</v>
      </c>
      <c r="P46" s="61">
        <f t="shared" si="3"/>
        <v>0</v>
      </c>
    </row>
    <row r="47" spans="1:16" s="11" customFormat="1" ht="58.5" customHeight="1" x14ac:dyDescent="0.25">
      <c r="A47" s="9"/>
      <c r="B47" s="134" t="s">
        <v>146</v>
      </c>
      <c r="C47" s="179"/>
      <c r="D47" s="135"/>
      <c r="E47" s="5" t="s">
        <v>48</v>
      </c>
      <c r="F47" s="9">
        <v>150</v>
      </c>
      <c r="G47" s="9">
        <f t="shared" si="0"/>
        <v>600</v>
      </c>
      <c r="H47" s="12">
        <f t="shared" si="1"/>
        <v>90000</v>
      </c>
      <c r="I47" s="9">
        <v>90000</v>
      </c>
      <c r="J47" s="12"/>
      <c r="L47" s="57">
        <v>150</v>
      </c>
      <c r="M47" s="57">
        <v>90000</v>
      </c>
      <c r="O47" s="61">
        <f t="shared" si="2"/>
        <v>0</v>
      </c>
      <c r="P47" s="61">
        <f t="shared" si="3"/>
        <v>0</v>
      </c>
    </row>
    <row r="48" spans="1:16" s="11" customFormat="1" ht="43.5" customHeight="1" x14ac:dyDescent="0.25">
      <c r="A48" s="12"/>
      <c r="B48" s="180" t="s">
        <v>198</v>
      </c>
      <c r="C48" s="181"/>
      <c r="D48" s="182"/>
      <c r="E48" s="18" t="s">
        <v>48</v>
      </c>
      <c r="F48" s="12">
        <v>1000</v>
      </c>
      <c r="G48" s="12">
        <f t="shared" si="0"/>
        <v>600</v>
      </c>
      <c r="H48" s="12">
        <f t="shared" si="1"/>
        <v>600000</v>
      </c>
      <c r="I48" s="12">
        <v>600000</v>
      </c>
      <c r="J48" s="12"/>
      <c r="L48" s="57">
        <v>1000</v>
      </c>
      <c r="M48" s="57">
        <v>600000</v>
      </c>
      <c r="O48" s="61">
        <f t="shared" si="2"/>
        <v>0</v>
      </c>
      <c r="P48" s="61">
        <f t="shared" si="3"/>
        <v>0</v>
      </c>
    </row>
    <row r="49" spans="1:16" s="11" customFormat="1" ht="69" customHeight="1" x14ac:dyDescent="0.25">
      <c r="A49" s="12">
        <v>6</v>
      </c>
      <c r="B49" s="180" t="s">
        <v>120</v>
      </c>
      <c r="C49" s="181"/>
      <c r="D49" s="182"/>
      <c r="E49" s="18" t="s">
        <v>48</v>
      </c>
      <c r="F49" s="12">
        <v>28</v>
      </c>
      <c r="G49" s="12">
        <f>I49/F49</f>
        <v>2100</v>
      </c>
      <c r="H49" s="12">
        <f t="shared" si="1"/>
        <v>58800</v>
      </c>
      <c r="I49" s="12">
        <v>58800</v>
      </c>
      <c r="J49" s="12"/>
      <c r="L49" s="57">
        <v>28</v>
      </c>
      <c r="M49" s="57">
        <v>58800</v>
      </c>
      <c r="O49" s="61">
        <f t="shared" si="2"/>
        <v>0</v>
      </c>
      <c r="P49" s="61">
        <f t="shared" si="3"/>
        <v>0</v>
      </c>
    </row>
    <row r="50" spans="1:16" s="11" customFormat="1" ht="66.75" customHeight="1" x14ac:dyDescent="0.25">
      <c r="A50" s="12">
        <v>7</v>
      </c>
      <c r="B50" s="180" t="s">
        <v>147</v>
      </c>
      <c r="C50" s="181"/>
      <c r="D50" s="182"/>
      <c r="E50" s="18" t="s">
        <v>99</v>
      </c>
      <c r="F50" s="12">
        <f>950+350</f>
        <v>1300</v>
      </c>
      <c r="G50" s="12">
        <f t="shared" ref="G50" si="6">H50/F50</f>
        <v>150</v>
      </c>
      <c r="H50" s="12">
        <f t="shared" si="1"/>
        <v>195000</v>
      </c>
      <c r="I50" s="12">
        <f>142500+52500</f>
        <v>195000</v>
      </c>
      <c r="J50" s="12"/>
      <c r="L50" s="60">
        <v>950</v>
      </c>
      <c r="M50" s="60">
        <v>142500</v>
      </c>
      <c r="O50" s="61">
        <f>F50-L50</f>
        <v>350</v>
      </c>
      <c r="P50" s="61">
        <f>I50-M50</f>
        <v>52500</v>
      </c>
    </row>
    <row r="51" spans="1:16" ht="21" customHeight="1" x14ac:dyDescent="0.25">
      <c r="A51" s="168" t="s">
        <v>30</v>
      </c>
      <c r="B51" s="169"/>
      <c r="C51" s="169"/>
      <c r="D51" s="170"/>
      <c r="E51" s="171"/>
      <c r="F51" s="172"/>
      <c r="G51" s="173"/>
      <c r="H51" s="12">
        <f t="shared" si="1"/>
        <v>4083200</v>
      </c>
      <c r="I51" s="6">
        <f>I25+I30+I31+I34+I35+I49+I50+I48</f>
        <v>4083200</v>
      </c>
      <c r="J51" s="6">
        <f>SUM(J36+J35+J31+J30+J25)</f>
        <v>0</v>
      </c>
      <c r="L51" s="56">
        <f>L25+L30+L31+L34+L35</f>
        <v>2859</v>
      </c>
      <c r="M51" s="56">
        <f>M25+M30+M31+M34+M35+M49+M50+M48</f>
        <v>4030700</v>
      </c>
      <c r="O51" s="61"/>
      <c r="P51" s="61">
        <f>I51-M51</f>
        <v>52500</v>
      </c>
    </row>
    <row r="52" spans="1:16" ht="8.1" customHeight="1" x14ac:dyDescent="0.25">
      <c r="A52" s="122"/>
      <c r="B52" s="122"/>
      <c r="C52" s="122"/>
      <c r="D52" s="122"/>
      <c r="E52" s="122"/>
      <c r="F52" s="122"/>
      <c r="G52" s="122"/>
      <c r="H52" s="122"/>
      <c r="I52" s="122"/>
      <c r="J52" s="122"/>
    </row>
    <row r="53" spans="1:16" ht="20.25" customHeight="1" x14ac:dyDescent="0.25">
      <c r="A53" s="64" t="s">
        <v>9</v>
      </c>
      <c r="B53" s="174" t="s">
        <v>31</v>
      </c>
      <c r="C53" s="174"/>
      <c r="D53" s="174"/>
      <c r="E53" s="174"/>
      <c r="F53" s="174"/>
      <c r="G53" s="174"/>
      <c r="H53" s="174"/>
      <c r="I53" s="174"/>
      <c r="J53" s="174"/>
    </row>
    <row r="54" spans="1:16" ht="79.5" customHeight="1" x14ac:dyDescent="0.25">
      <c r="A54" s="13">
        <v>1</v>
      </c>
      <c r="B54" s="183" t="s">
        <v>216</v>
      </c>
      <c r="C54" s="184"/>
      <c r="D54" s="184"/>
      <c r="E54" s="184"/>
      <c r="F54" s="184"/>
      <c r="G54" s="184"/>
      <c r="H54" s="184"/>
      <c r="I54" s="184"/>
      <c r="J54" s="184"/>
    </row>
    <row r="55" spans="1:16" ht="83.25" customHeight="1" x14ac:dyDescent="0.25">
      <c r="A55" s="13">
        <v>2</v>
      </c>
      <c r="B55" s="183" t="s">
        <v>217</v>
      </c>
      <c r="C55" s="184"/>
      <c r="D55" s="184"/>
      <c r="E55" s="184"/>
      <c r="F55" s="184"/>
      <c r="G55" s="184"/>
      <c r="H55" s="184"/>
      <c r="I55" s="184"/>
      <c r="J55" s="184"/>
    </row>
    <row r="56" spans="1:16" ht="58.5" customHeight="1" x14ac:dyDescent="0.25">
      <c r="A56" s="13">
        <v>3</v>
      </c>
      <c r="B56" s="183" t="s">
        <v>218</v>
      </c>
      <c r="C56" s="184"/>
      <c r="D56" s="184"/>
      <c r="E56" s="184"/>
      <c r="F56" s="184"/>
      <c r="G56" s="184"/>
      <c r="H56" s="184"/>
      <c r="I56" s="184"/>
      <c r="J56" s="184"/>
    </row>
    <row r="57" spans="1:16" ht="41.25" customHeight="1" x14ac:dyDescent="0.25">
      <c r="A57" s="13">
        <v>4</v>
      </c>
      <c r="B57" s="183" t="s">
        <v>219</v>
      </c>
      <c r="C57" s="184"/>
      <c r="D57" s="184"/>
      <c r="E57" s="184"/>
      <c r="F57" s="184"/>
      <c r="G57" s="184"/>
      <c r="H57" s="184"/>
      <c r="I57" s="184"/>
      <c r="J57" s="184"/>
      <c r="K57" s="35"/>
    </row>
    <row r="58" spans="1:16" ht="225" customHeight="1" x14ac:dyDescent="0.25">
      <c r="A58" s="13">
        <v>5</v>
      </c>
      <c r="B58" s="183" t="s">
        <v>220</v>
      </c>
      <c r="C58" s="184"/>
      <c r="D58" s="184"/>
      <c r="E58" s="184"/>
      <c r="F58" s="184"/>
      <c r="G58" s="184"/>
      <c r="H58" s="184"/>
      <c r="I58" s="184"/>
      <c r="J58" s="184"/>
    </row>
    <row r="59" spans="1:16" ht="72" customHeight="1" x14ac:dyDescent="0.25">
      <c r="A59" s="13">
        <v>6</v>
      </c>
      <c r="B59" s="183" t="s">
        <v>233</v>
      </c>
      <c r="C59" s="184"/>
      <c r="D59" s="184"/>
      <c r="E59" s="184"/>
      <c r="F59" s="184"/>
      <c r="G59" s="184"/>
      <c r="H59" s="184"/>
      <c r="I59" s="184"/>
      <c r="J59" s="184"/>
    </row>
    <row r="60" spans="1:16" ht="30.75" customHeight="1" x14ac:dyDescent="0.25">
      <c r="A60" s="65"/>
      <c r="B60" s="138"/>
      <c r="C60" s="138"/>
      <c r="D60" s="138"/>
      <c r="E60" s="138"/>
      <c r="F60" s="138"/>
      <c r="G60" s="138"/>
      <c r="H60" s="138"/>
      <c r="I60" s="138"/>
      <c r="J60" s="138"/>
    </row>
    <row r="91" spans="7:7" x14ac:dyDescent="0.25">
      <c r="G91" s="63">
        <f>50*4800</f>
        <v>240000</v>
      </c>
    </row>
  </sheetData>
  <mergeCells count="82">
    <mergeCell ref="B59:J59"/>
    <mergeCell ref="B49:D49"/>
    <mergeCell ref="A51:D51"/>
    <mergeCell ref="E51:G51"/>
    <mergeCell ref="A52:J52"/>
    <mergeCell ref="B53:J53"/>
    <mergeCell ref="B50:D50"/>
    <mergeCell ref="B54:J54"/>
    <mergeCell ref="B55:J55"/>
    <mergeCell ref="B57:J57"/>
    <mergeCell ref="B58:J58"/>
    <mergeCell ref="B56:J56"/>
    <mergeCell ref="B44:D44"/>
    <mergeCell ref="B45:D45"/>
    <mergeCell ref="B46:D46"/>
    <mergeCell ref="B47:D47"/>
    <mergeCell ref="B48:D48"/>
    <mergeCell ref="B39:D39"/>
    <mergeCell ref="B40:D40"/>
    <mergeCell ref="B41:D41"/>
    <mergeCell ref="B42:D42"/>
    <mergeCell ref="B43:D43"/>
    <mergeCell ref="B33:D33"/>
    <mergeCell ref="B35:D35"/>
    <mergeCell ref="B36:D36"/>
    <mergeCell ref="B37:D37"/>
    <mergeCell ref="B38:D38"/>
    <mergeCell ref="B34:D34"/>
    <mergeCell ref="B28:D28"/>
    <mergeCell ref="B29:D29"/>
    <mergeCell ref="B30:D30"/>
    <mergeCell ref="B31:D31"/>
    <mergeCell ref="B32:D32"/>
    <mergeCell ref="B25:D25"/>
    <mergeCell ref="B26:D26"/>
    <mergeCell ref="B27:D27"/>
    <mergeCell ref="B21:E21"/>
    <mergeCell ref="H21:J21"/>
    <mergeCell ref="A22:J22"/>
    <mergeCell ref="A23:A24"/>
    <mergeCell ref="B23:D24"/>
    <mergeCell ref="E23:G23"/>
    <mergeCell ref="H23:H24"/>
    <mergeCell ref="I23:J23"/>
    <mergeCell ref="B17:E17"/>
    <mergeCell ref="H17:J17"/>
    <mergeCell ref="B18:E18"/>
    <mergeCell ref="H18:J18"/>
    <mergeCell ref="B20:E20"/>
    <mergeCell ref="H20:J20"/>
    <mergeCell ref="B19:E19"/>
    <mergeCell ref="H19:J19"/>
    <mergeCell ref="B60:J60"/>
    <mergeCell ref="A4:J4"/>
    <mergeCell ref="A5:B6"/>
    <mergeCell ref="C5:E6"/>
    <mergeCell ref="F5:F6"/>
    <mergeCell ref="A7:J7"/>
    <mergeCell ref="A8:B8"/>
    <mergeCell ref="C8:J8"/>
    <mergeCell ref="A9:B9"/>
    <mergeCell ref="C9:J9"/>
    <mergeCell ref="A10:B10"/>
    <mergeCell ref="C10:J10"/>
    <mergeCell ref="A11:J11"/>
    <mergeCell ref="A12:A13"/>
    <mergeCell ref="B12:E13"/>
    <mergeCell ref="F12:G12"/>
    <mergeCell ref="A1:J1"/>
    <mergeCell ref="A2:B2"/>
    <mergeCell ref="C2:E2"/>
    <mergeCell ref="F2:J2"/>
    <mergeCell ref="A3:B3"/>
    <mergeCell ref="C3:E3"/>
    <mergeCell ref="F3:J3"/>
    <mergeCell ref="B16:E16"/>
    <mergeCell ref="H16:J16"/>
    <mergeCell ref="H12:J13"/>
    <mergeCell ref="B14:E14"/>
    <mergeCell ref="H14:J14"/>
    <mergeCell ref="B15:E15"/>
    <mergeCell ref="H15:J15"/>
  </mergeCells>
  <pageMargins left="0.19685039370078741" right="0.19685039370078741" top="0.19685039370078741" bottom="0.19685039370078741" header="0.19685039370078741" footer="0.19685039370078741"/>
  <pageSetup paperSize="9" scale="8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25"/>
  <sheetViews>
    <sheetView view="pageBreakPreview" topLeftCell="A25" zoomScaleNormal="100" zoomScaleSheetLayoutView="100" workbookViewId="0">
      <selection activeCell="B12" sqref="B12:E13"/>
    </sheetView>
  </sheetViews>
  <sheetFormatPr defaultColWidth="9.140625" defaultRowHeight="12.75" x14ac:dyDescent="0.25"/>
  <cols>
    <col min="1" max="1" width="7.7109375" style="1" customWidth="1"/>
    <col min="2" max="2" width="14.42578125" style="1" customWidth="1"/>
    <col min="3" max="3" width="8.7109375" style="1" customWidth="1"/>
    <col min="4" max="10" width="18.7109375" style="1" customWidth="1"/>
    <col min="11" max="11" width="9.140625" style="1" customWidth="1"/>
    <col min="12" max="13" width="12.5703125" style="1" customWidth="1"/>
    <col min="14" max="14" width="3.5703125" style="1" customWidth="1"/>
    <col min="15" max="16" width="12.5703125" style="32" customWidth="1"/>
    <col min="17" max="16384" width="9.140625" style="1"/>
  </cols>
  <sheetData>
    <row r="1" spans="1:10" s="20" customFormat="1" ht="23.25" customHeight="1" x14ac:dyDescent="0.25">
      <c r="A1" s="120" t="s">
        <v>20</v>
      </c>
      <c r="B1" s="120"/>
      <c r="C1" s="120"/>
      <c r="D1" s="120"/>
      <c r="E1" s="120"/>
      <c r="F1" s="120"/>
      <c r="G1" s="120"/>
      <c r="H1" s="120"/>
      <c r="I1" s="120"/>
      <c r="J1" s="120"/>
    </row>
    <row r="2" spans="1:10" ht="30.75" customHeight="1" x14ac:dyDescent="0.25">
      <c r="A2" s="123" t="s">
        <v>12</v>
      </c>
      <c r="B2" s="123"/>
      <c r="C2" s="123" t="s">
        <v>0</v>
      </c>
      <c r="D2" s="123"/>
      <c r="E2" s="123"/>
      <c r="F2" s="123" t="s">
        <v>13</v>
      </c>
      <c r="G2" s="123"/>
      <c r="H2" s="123"/>
      <c r="I2" s="123"/>
      <c r="J2" s="123"/>
    </row>
    <row r="3" spans="1:10" ht="30" customHeight="1" x14ac:dyDescent="0.25">
      <c r="A3" s="139" t="s">
        <v>55</v>
      </c>
      <c r="B3" s="139"/>
      <c r="C3" s="129" t="s">
        <v>56</v>
      </c>
      <c r="D3" s="129"/>
      <c r="E3" s="129"/>
      <c r="F3" s="139" t="s">
        <v>35</v>
      </c>
      <c r="G3" s="139"/>
      <c r="H3" s="139"/>
      <c r="I3" s="139"/>
      <c r="J3" s="139"/>
    </row>
    <row r="4" spans="1:10" ht="8.1" customHeight="1" x14ac:dyDescent="0.25">
      <c r="A4" s="122"/>
      <c r="B4" s="122"/>
      <c r="C4" s="122"/>
      <c r="D4" s="122"/>
      <c r="E4" s="122"/>
      <c r="F4" s="122"/>
      <c r="G4" s="122"/>
      <c r="H4" s="122"/>
      <c r="I4" s="122"/>
      <c r="J4" s="122"/>
    </row>
    <row r="5" spans="1:10" ht="39.75" customHeight="1" x14ac:dyDescent="0.25">
      <c r="A5" s="123" t="s">
        <v>15</v>
      </c>
      <c r="B5" s="123"/>
      <c r="C5" s="140" t="s">
        <v>37</v>
      </c>
      <c r="D5" s="140"/>
      <c r="E5" s="140"/>
      <c r="F5" s="123" t="s">
        <v>14</v>
      </c>
      <c r="G5" s="2" t="s">
        <v>94</v>
      </c>
      <c r="H5" s="2" t="s">
        <v>102</v>
      </c>
      <c r="I5" s="2" t="s">
        <v>127</v>
      </c>
      <c r="J5" s="2" t="s">
        <v>205</v>
      </c>
    </row>
    <row r="6" spans="1:10" ht="18.75" customHeight="1" x14ac:dyDescent="0.25">
      <c r="A6" s="124"/>
      <c r="B6" s="124"/>
      <c r="C6" s="129"/>
      <c r="D6" s="129"/>
      <c r="E6" s="129"/>
      <c r="F6" s="124"/>
      <c r="G6" s="7">
        <f>H21</f>
        <v>3475000</v>
      </c>
      <c r="H6" s="7">
        <f>3250640+60</f>
        <v>3250700</v>
      </c>
      <c r="I6" s="7">
        <f>3250640+60</f>
        <v>3250700</v>
      </c>
      <c r="J6" s="7">
        <f>3250640+60</f>
        <v>3250700</v>
      </c>
    </row>
    <row r="7" spans="1:10" ht="8.1" customHeight="1" x14ac:dyDescent="0.25">
      <c r="A7" s="122"/>
      <c r="B7" s="122"/>
      <c r="C7" s="122"/>
      <c r="D7" s="122"/>
      <c r="E7" s="122"/>
      <c r="F7" s="122"/>
      <c r="G7" s="122"/>
      <c r="H7" s="122"/>
      <c r="I7" s="122"/>
      <c r="J7" s="122"/>
    </row>
    <row r="8" spans="1:10" ht="30.75" customHeight="1" x14ac:dyDescent="0.25">
      <c r="A8" s="141" t="s">
        <v>16</v>
      </c>
      <c r="B8" s="141"/>
      <c r="C8" s="185" t="s">
        <v>57</v>
      </c>
      <c r="D8" s="185"/>
      <c r="E8" s="185"/>
      <c r="F8" s="185"/>
      <c r="G8" s="185"/>
      <c r="H8" s="185"/>
      <c r="I8" s="185"/>
      <c r="J8" s="185"/>
    </row>
    <row r="9" spans="1:10" ht="162.75" customHeight="1" x14ac:dyDescent="0.25">
      <c r="A9" s="143" t="s">
        <v>17</v>
      </c>
      <c r="B9" s="144"/>
      <c r="C9" s="145" t="s">
        <v>256</v>
      </c>
      <c r="D9" s="146"/>
      <c r="E9" s="146"/>
      <c r="F9" s="146"/>
      <c r="G9" s="146"/>
      <c r="H9" s="146"/>
      <c r="I9" s="146"/>
      <c r="J9" s="147"/>
    </row>
    <row r="10" spans="1:10" ht="45" customHeight="1" x14ac:dyDescent="0.25">
      <c r="A10" s="148" t="s">
        <v>18</v>
      </c>
      <c r="B10" s="148"/>
      <c r="C10" s="186" t="s">
        <v>58</v>
      </c>
      <c r="D10" s="187"/>
      <c r="E10" s="187"/>
      <c r="F10" s="187"/>
      <c r="G10" s="187"/>
      <c r="H10" s="187"/>
      <c r="I10" s="187"/>
      <c r="J10" s="187"/>
    </row>
    <row r="11" spans="1:10" ht="8.1" customHeight="1" x14ac:dyDescent="0.25">
      <c r="A11" s="122"/>
      <c r="B11" s="122"/>
      <c r="C11" s="122"/>
      <c r="D11" s="122"/>
      <c r="E11" s="122"/>
      <c r="F11" s="122"/>
      <c r="G11" s="122"/>
      <c r="H11" s="122"/>
      <c r="I11" s="122"/>
      <c r="J11" s="122"/>
    </row>
    <row r="12" spans="1:10" ht="20.25" customHeight="1" x14ac:dyDescent="0.25">
      <c r="A12" s="123" t="s">
        <v>9</v>
      </c>
      <c r="B12" s="123" t="s">
        <v>19</v>
      </c>
      <c r="C12" s="123"/>
      <c r="D12" s="123"/>
      <c r="E12" s="123"/>
      <c r="F12" s="123" t="s">
        <v>11</v>
      </c>
      <c r="G12" s="123"/>
      <c r="H12" s="116" t="s">
        <v>33</v>
      </c>
      <c r="I12" s="151"/>
      <c r="J12" s="117"/>
    </row>
    <row r="13" spans="1:10" ht="32.25" customHeight="1" x14ac:dyDescent="0.25">
      <c r="A13" s="130"/>
      <c r="B13" s="130"/>
      <c r="C13" s="130"/>
      <c r="D13" s="130"/>
      <c r="E13" s="130"/>
      <c r="F13" s="33" t="s">
        <v>208</v>
      </c>
      <c r="G13" s="33" t="s">
        <v>95</v>
      </c>
      <c r="H13" s="118"/>
      <c r="I13" s="152"/>
      <c r="J13" s="119"/>
    </row>
    <row r="14" spans="1:10" s="100" customFormat="1" ht="32.25" customHeight="1" x14ac:dyDescent="0.25">
      <c r="A14" s="4">
        <v>1</v>
      </c>
      <c r="B14" s="153" t="s">
        <v>59</v>
      </c>
      <c r="C14" s="153"/>
      <c r="D14" s="153"/>
      <c r="E14" s="153"/>
      <c r="F14" s="4">
        <v>39900</v>
      </c>
      <c r="G14" s="4">
        <f>F19</f>
        <v>39900</v>
      </c>
      <c r="H14" s="175" t="s">
        <v>122</v>
      </c>
      <c r="I14" s="176"/>
      <c r="J14" s="176"/>
    </row>
    <row r="15" spans="1:10" ht="31.5" customHeight="1" x14ac:dyDescent="0.25">
      <c r="A15" s="4">
        <v>2</v>
      </c>
      <c r="B15" s="153" t="s">
        <v>246</v>
      </c>
      <c r="C15" s="153"/>
      <c r="D15" s="153"/>
      <c r="E15" s="153"/>
      <c r="F15" s="104" t="s">
        <v>244</v>
      </c>
      <c r="G15" s="4">
        <f>F20</f>
        <v>486200</v>
      </c>
      <c r="H15" s="175" t="s">
        <v>255</v>
      </c>
      <c r="I15" s="176"/>
      <c r="J15" s="176"/>
    </row>
    <row r="16" spans="1:10" ht="8.1" customHeight="1" x14ac:dyDescent="0.25">
      <c r="A16" s="122"/>
      <c r="B16" s="122"/>
      <c r="C16" s="122"/>
      <c r="D16" s="122"/>
      <c r="E16" s="122"/>
      <c r="F16" s="122"/>
      <c r="G16" s="122"/>
      <c r="H16" s="122"/>
      <c r="I16" s="122"/>
      <c r="J16" s="122"/>
    </row>
    <row r="17" spans="1:16" ht="21" customHeight="1" x14ac:dyDescent="0.25">
      <c r="A17" s="123" t="s">
        <v>9</v>
      </c>
      <c r="B17" s="123" t="s">
        <v>21</v>
      </c>
      <c r="C17" s="123"/>
      <c r="D17" s="123"/>
      <c r="E17" s="123" t="s">
        <v>22</v>
      </c>
      <c r="F17" s="123"/>
      <c r="G17" s="123"/>
      <c r="H17" s="123" t="s">
        <v>25</v>
      </c>
      <c r="I17" s="123" t="s">
        <v>26</v>
      </c>
      <c r="J17" s="123"/>
    </row>
    <row r="18" spans="1:16" ht="32.25" customHeight="1" x14ac:dyDescent="0.25">
      <c r="A18" s="130"/>
      <c r="B18" s="130"/>
      <c r="C18" s="130"/>
      <c r="D18" s="130"/>
      <c r="E18" s="3" t="s">
        <v>23</v>
      </c>
      <c r="F18" s="3" t="s">
        <v>97</v>
      </c>
      <c r="G18" s="3" t="s">
        <v>29</v>
      </c>
      <c r="H18" s="130"/>
      <c r="I18" s="3" t="s">
        <v>27</v>
      </c>
      <c r="J18" s="3" t="s">
        <v>28</v>
      </c>
      <c r="L18" s="103" t="s">
        <v>97</v>
      </c>
      <c r="M18" s="103" t="s">
        <v>27</v>
      </c>
      <c r="O18" s="103" t="s">
        <v>97</v>
      </c>
      <c r="P18" s="103" t="s">
        <v>27</v>
      </c>
    </row>
    <row r="19" spans="1:16" s="101" customFormat="1" ht="238.5" customHeight="1" x14ac:dyDescent="0.25">
      <c r="A19" s="9"/>
      <c r="B19" s="188" t="s">
        <v>221</v>
      </c>
      <c r="C19" s="162"/>
      <c r="D19" s="163"/>
      <c r="E19" s="8" t="s">
        <v>48</v>
      </c>
      <c r="F19" s="9">
        <v>39900</v>
      </c>
      <c r="G19" s="27">
        <f>H19/F19</f>
        <v>81</v>
      </c>
      <c r="H19" s="12">
        <f>I19+J19</f>
        <v>3231900</v>
      </c>
      <c r="I19" s="9">
        <v>3231900</v>
      </c>
      <c r="J19" s="12"/>
      <c r="K19" s="36"/>
      <c r="L19" s="57">
        <v>39900</v>
      </c>
      <c r="M19" s="57">
        <v>3231900</v>
      </c>
      <c r="N19" s="59"/>
      <c r="O19" s="57">
        <f>F19-L19</f>
        <v>0</v>
      </c>
      <c r="P19" s="57">
        <f>I19-M19</f>
        <v>0</v>
      </c>
    </row>
    <row r="20" spans="1:16" s="11" customFormat="1" ht="234" customHeight="1" x14ac:dyDescent="0.25">
      <c r="A20" s="9"/>
      <c r="B20" s="188" t="s">
        <v>245</v>
      </c>
      <c r="C20" s="162"/>
      <c r="D20" s="163"/>
      <c r="E20" s="8" t="s">
        <v>243</v>
      </c>
      <c r="F20" s="9">
        <v>486200</v>
      </c>
      <c r="G20" s="110">
        <f>H20/F20</f>
        <v>0.5</v>
      </c>
      <c r="H20" s="12">
        <f>I20+J20</f>
        <v>243100</v>
      </c>
      <c r="I20" s="9">
        <v>243100</v>
      </c>
      <c r="J20" s="12"/>
      <c r="K20" s="36"/>
      <c r="L20" s="57">
        <v>0</v>
      </c>
      <c r="M20" s="57">
        <v>0</v>
      </c>
      <c r="N20" s="59"/>
      <c r="O20" s="57">
        <f>F20-L20</f>
        <v>486200</v>
      </c>
      <c r="P20" s="57">
        <f>I20-M20</f>
        <v>243100</v>
      </c>
    </row>
    <row r="21" spans="1:16" ht="21" customHeight="1" x14ac:dyDescent="0.25">
      <c r="A21" s="168" t="s">
        <v>30</v>
      </c>
      <c r="B21" s="169"/>
      <c r="C21" s="169"/>
      <c r="D21" s="170"/>
      <c r="E21" s="171"/>
      <c r="F21" s="172"/>
      <c r="G21" s="173"/>
      <c r="H21" s="6">
        <f>SUM(H19:H20)</f>
        <v>3475000</v>
      </c>
      <c r="I21" s="6">
        <f>SUM(I19:I20)</f>
        <v>3475000</v>
      </c>
      <c r="J21" s="6">
        <f>SUM(J19:J20)</f>
        <v>0</v>
      </c>
    </row>
    <row r="22" spans="1:16" ht="8.1" customHeight="1" x14ac:dyDescent="0.25">
      <c r="A22" s="122"/>
      <c r="B22" s="122"/>
      <c r="C22" s="122"/>
      <c r="D22" s="122"/>
      <c r="E22" s="122"/>
      <c r="F22" s="122"/>
      <c r="G22" s="122"/>
      <c r="H22" s="122"/>
      <c r="I22" s="122"/>
      <c r="J22" s="122"/>
    </row>
    <row r="23" spans="1:16" ht="20.25" customHeight="1" x14ac:dyDescent="0.25">
      <c r="A23" s="15" t="s">
        <v>9</v>
      </c>
      <c r="B23" s="174" t="s">
        <v>31</v>
      </c>
      <c r="C23" s="174"/>
      <c r="D23" s="174"/>
      <c r="E23" s="174"/>
      <c r="F23" s="174"/>
      <c r="G23" s="174"/>
      <c r="H23" s="174"/>
      <c r="I23" s="174"/>
      <c r="J23" s="174"/>
    </row>
    <row r="24" spans="1:16" ht="58.5" customHeight="1" x14ac:dyDescent="0.25">
      <c r="A24" s="13">
        <v>1</v>
      </c>
      <c r="B24" s="189" t="s">
        <v>257</v>
      </c>
      <c r="C24" s="190"/>
      <c r="D24" s="190"/>
      <c r="E24" s="190"/>
      <c r="F24" s="190"/>
      <c r="G24" s="190"/>
      <c r="H24" s="190"/>
      <c r="I24" s="190"/>
      <c r="J24" s="190"/>
    </row>
    <row r="25" spans="1:16" ht="30.75" customHeight="1" x14ac:dyDescent="0.25">
      <c r="A25" s="10"/>
      <c r="B25" s="138"/>
      <c r="C25" s="138"/>
      <c r="D25" s="138"/>
      <c r="E25" s="138"/>
      <c r="F25" s="138"/>
      <c r="G25" s="138"/>
      <c r="H25" s="138"/>
      <c r="I25" s="138"/>
      <c r="J25" s="138"/>
    </row>
  </sheetData>
  <mergeCells count="41">
    <mergeCell ref="B25:J25"/>
    <mergeCell ref="A21:D21"/>
    <mergeCell ref="E21:G21"/>
    <mergeCell ref="A22:J22"/>
    <mergeCell ref="B23:J23"/>
    <mergeCell ref="B24:J24"/>
    <mergeCell ref="B20:D20"/>
    <mergeCell ref="A16:J16"/>
    <mergeCell ref="A17:A18"/>
    <mergeCell ref="B17:D18"/>
    <mergeCell ref="E17:G17"/>
    <mergeCell ref="H17:H18"/>
    <mergeCell ref="I17:J17"/>
    <mergeCell ref="B19:D19"/>
    <mergeCell ref="B15:E15"/>
    <mergeCell ref="A9:B9"/>
    <mergeCell ref="C9:J9"/>
    <mergeCell ref="A10:B10"/>
    <mergeCell ref="C10:J10"/>
    <mergeCell ref="A11:J11"/>
    <mergeCell ref="A12:A13"/>
    <mergeCell ref="B12:E13"/>
    <mergeCell ref="F12:G12"/>
    <mergeCell ref="H12:J13"/>
    <mergeCell ref="H15:J15"/>
    <mergeCell ref="B14:E14"/>
    <mergeCell ref="H14:J14"/>
    <mergeCell ref="A8:B8"/>
    <mergeCell ref="C8:J8"/>
    <mergeCell ref="A1:J1"/>
    <mergeCell ref="A2:B2"/>
    <mergeCell ref="C2:E2"/>
    <mergeCell ref="F2:J2"/>
    <mergeCell ref="A3:B3"/>
    <mergeCell ref="C3:E3"/>
    <mergeCell ref="F3:J3"/>
    <mergeCell ref="A4:J4"/>
    <mergeCell ref="A5:B6"/>
    <mergeCell ref="C5:E6"/>
    <mergeCell ref="F5:F6"/>
    <mergeCell ref="A7:J7"/>
  </mergeCells>
  <pageMargins left="0.19685039370078741" right="0.19685039370078741" top="0.19685039370078741" bottom="0.19685039370078741" header="0.19685039370078741" footer="0.19685039370078741"/>
  <pageSetup paperSize="9"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26"/>
  <sheetViews>
    <sheetView view="pageBreakPreview" topLeftCell="A7" zoomScaleNormal="100" zoomScaleSheetLayoutView="100" workbookViewId="0">
      <selection activeCell="F12" sqref="F12:G12"/>
    </sheetView>
  </sheetViews>
  <sheetFormatPr defaultColWidth="9.140625" defaultRowHeight="12.75" x14ac:dyDescent="0.25"/>
  <cols>
    <col min="1" max="1" width="7.7109375" style="1" customWidth="1"/>
    <col min="2" max="2" width="14.42578125" style="1" customWidth="1"/>
    <col min="3" max="3" width="8.7109375" style="1" customWidth="1"/>
    <col min="4" max="10" width="18.7109375" style="1" customWidth="1"/>
    <col min="11" max="11" width="42.7109375" style="1" customWidth="1"/>
    <col min="12" max="16" width="18.7109375" style="1" customWidth="1"/>
    <col min="17" max="16384" width="9.140625" style="1"/>
  </cols>
  <sheetData>
    <row r="1" spans="1:10" s="20" customFormat="1" ht="30.75" customHeight="1" x14ac:dyDescent="0.25">
      <c r="A1" s="120" t="s">
        <v>20</v>
      </c>
      <c r="B1" s="120"/>
      <c r="C1" s="120"/>
      <c r="D1" s="120"/>
      <c r="E1" s="120"/>
      <c r="F1" s="120"/>
      <c r="G1" s="120"/>
      <c r="H1" s="120"/>
      <c r="I1" s="120"/>
      <c r="J1" s="120"/>
    </row>
    <row r="2" spans="1:10" ht="30.75" customHeight="1" x14ac:dyDescent="0.25">
      <c r="A2" s="123" t="s">
        <v>12</v>
      </c>
      <c r="B2" s="123"/>
      <c r="C2" s="123" t="s">
        <v>0</v>
      </c>
      <c r="D2" s="123"/>
      <c r="E2" s="123"/>
      <c r="F2" s="123" t="s">
        <v>13</v>
      </c>
      <c r="G2" s="123"/>
      <c r="H2" s="123"/>
      <c r="I2" s="123"/>
      <c r="J2" s="123"/>
    </row>
    <row r="3" spans="1:10" ht="45" customHeight="1" x14ac:dyDescent="0.25">
      <c r="A3" s="139" t="s">
        <v>60</v>
      </c>
      <c r="B3" s="139"/>
      <c r="C3" s="129" t="s">
        <v>123</v>
      </c>
      <c r="D3" s="129"/>
      <c r="E3" s="129"/>
      <c r="F3" s="139" t="s">
        <v>35</v>
      </c>
      <c r="G3" s="139"/>
      <c r="H3" s="139"/>
      <c r="I3" s="139"/>
      <c r="J3" s="139"/>
    </row>
    <row r="4" spans="1:10" ht="8.1" customHeight="1" x14ac:dyDescent="0.25">
      <c r="A4" s="122"/>
      <c r="B4" s="122"/>
      <c r="C4" s="122"/>
      <c r="D4" s="122"/>
      <c r="E4" s="122"/>
      <c r="F4" s="122"/>
      <c r="G4" s="122"/>
      <c r="H4" s="122"/>
      <c r="I4" s="122"/>
      <c r="J4" s="122"/>
    </row>
    <row r="5" spans="1:10" ht="39.75" customHeight="1" x14ac:dyDescent="0.25">
      <c r="A5" s="123" t="s">
        <v>15</v>
      </c>
      <c r="B5" s="123"/>
      <c r="C5" s="140" t="s">
        <v>98</v>
      </c>
      <c r="D5" s="140"/>
      <c r="E5" s="140"/>
      <c r="F5" s="123" t="s">
        <v>14</v>
      </c>
      <c r="G5" s="2" t="s">
        <v>94</v>
      </c>
      <c r="H5" s="2" t="s">
        <v>102</v>
      </c>
      <c r="I5" s="2" t="s">
        <v>127</v>
      </c>
      <c r="J5" s="2" t="s">
        <v>205</v>
      </c>
    </row>
    <row r="6" spans="1:10" ht="24.75" customHeight="1" x14ac:dyDescent="0.25">
      <c r="A6" s="124"/>
      <c r="B6" s="124"/>
      <c r="C6" s="129"/>
      <c r="D6" s="129"/>
      <c r="E6" s="129"/>
      <c r="F6" s="124"/>
      <c r="G6" s="7">
        <f>H21</f>
        <v>1589700</v>
      </c>
      <c r="H6" s="7">
        <f>1399880+20</f>
        <v>1399900</v>
      </c>
      <c r="I6" s="7">
        <f>1399880+20</f>
        <v>1399900</v>
      </c>
      <c r="J6" s="7">
        <f>1399880+20</f>
        <v>1399900</v>
      </c>
    </row>
    <row r="7" spans="1:10" ht="8.1" customHeight="1" x14ac:dyDescent="0.25">
      <c r="A7" s="122"/>
      <c r="B7" s="122"/>
      <c r="C7" s="122"/>
      <c r="D7" s="122"/>
      <c r="E7" s="122"/>
      <c r="F7" s="122"/>
      <c r="G7" s="122"/>
      <c r="H7" s="122"/>
      <c r="I7" s="122"/>
      <c r="J7" s="122"/>
    </row>
    <row r="8" spans="1:10" ht="30" customHeight="1" x14ac:dyDescent="0.25">
      <c r="A8" s="141" t="s">
        <v>16</v>
      </c>
      <c r="B8" s="141"/>
      <c r="C8" s="185" t="s">
        <v>93</v>
      </c>
      <c r="D8" s="185"/>
      <c r="E8" s="185"/>
      <c r="F8" s="185"/>
      <c r="G8" s="185"/>
      <c r="H8" s="185"/>
      <c r="I8" s="185"/>
      <c r="J8" s="185"/>
    </row>
    <row r="9" spans="1:10" ht="139.5" customHeight="1" x14ac:dyDescent="0.25">
      <c r="A9" s="143" t="s">
        <v>17</v>
      </c>
      <c r="B9" s="144"/>
      <c r="C9" s="145" t="s">
        <v>184</v>
      </c>
      <c r="D9" s="146"/>
      <c r="E9" s="146"/>
      <c r="F9" s="146"/>
      <c r="G9" s="146"/>
      <c r="H9" s="146"/>
      <c r="I9" s="146"/>
      <c r="J9" s="147"/>
    </row>
    <row r="10" spans="1:10" ht="45" customHeight="1" x14ac:dyDescent="0.25">
      <c r="A10" s="148" t="s">
        <v>18</v>
      </c>
      <c r="B10" s="148"/>
      <c r="C10" s="177" t="s">
        <v>148</v>
      </c>
      <c r="D10" s="191"/>
      <c r="E10" s="191"/>
      <c r="F10" s="191"/>
      <c r="G10" s="191"/>
      <c r="H10" s="191"/>
      <c r="I10" s="191"/>
      <c r="J10" s="191"/>
    </row>
    <row r="11" spans="1:10" ht="8.1" customHeight="1" x14ac:dyDescent="0.25">
      <c r="A11" s="122"/>
      <c r="B11" s="122"/>
      <c r="C11" s="122"/>
      <c r="D11" s="122"/>
      <c r="E11" s="122"/>
      <c r="F11" s="122"/>
      <c r="G11" s="122"/>
      <c r="H11" s="122"/>
      <c r="I11" s="122"/>
      <c r="J11" s="122"/>
    </row>
    <row r="12" spans="1:10" ht="20.25" customHeight="1" x14ac:dyDescent="0.25">
      <c r="A12" s="123" t="s">
        <v>9</v>
      </c>
      <c r="B12" s="123" t="s">
        <v>19</v>
      </c>
      <c r="C12" s="123"/>
      <c r="D12" s="123"/>
      <c r="E12" s="123"/>
      <c r="F12" s="123" t="s">
        <v>11</v>
      </c>
      <c r="G12" s="123"/>
      <c r="H12" s="116" t="s">
        <v>33</v>
      </c>
      <c r="I12" s="151"/>
      <c r="J12" s="117"/>
    </row>
    <row r="13" spans="1:10" ht="32.25" customHeight="1" x14ac:dyDescent="0.25">
      <c r="A13" s="130"/>
      <c r="B13" s="130"/>
      <c r="C13" s="130"/>
      <c r="D13" s="130"/>
      <c r="E13" s="130"/>
      <c r="F13" s="3" t="s">
        <v>208</v>
      </c>
      <c r="G13" s="3" t="s">
        <v>95</v>
      </c>
      <c r="H13" s="118"/>
      <c r="I13" s="152"/>
      <c r="J13" s="119"/>
    </row>
    <row r="14" spans="1:10" ht="26.25" customHeight="1" x14ac:dyDescent="0.25">
      <c r="A14" s="4">
        <v>1</v>
      </c>
      <c r="B14" s="153" t="s">
        <v>114</v>
      </c>
      <c r="C14" s="153"/>
      <c r="D14" s="153"/>
      <c r="E14" s="153"/>
      <c r="F14" s="4">
        <v>130</v>
      </c>
      <c r="G14" s="4">
        <f>F19</f>
        <v>130</v>
      </c>
      <c r="H14" s="136" t="s">
        <v>111</v>
      </c>
      <c r="I14" s="154"/>
      <c r="J14" s="154"/>
    </row>
    <row r="15" spans="1:10" ht="26.25" customHeight="1" x14ac:dyDescent="0.25">
      <c r="A15" s="4">
        <v>2</v>
      </c>
      <c r="B15" s="153" t="s">
        <v>159</v>
      </c>
      <c r="C15" s="153"/>
      <c r="D15" s="153"/>
      <c r="E15" s="153"/>
      <c r="F15" s="4">
        <v>110</v>
      </c>
      <c r="G15" s="4">
        <f>F20</f>
        <v>110</v>
      </c>
      <c r="H15" s="136" t="s">
        <v>111</v>
      </c>
      <c r="I15" s="154"/>
      <c r="J15" s="154"/>
    </row>
    <row r="16" spans="1:10" ht="8.1" customHeight="1" x14ac:dyDescent="0.25">
      <c r="A16" s="122"/>
      <c r="B16" s="122"/>
      <c r="C16" s="122"/>
      <c r="D16" s="122"/>
      <c r="E16" s="122"/>
      <c r="F16" s="122"/>
      <c r="G16" s="122"/>
      <c r="H16" s="122"/>
      <c r="I16" s="122"/>
      <c r="J16" s="122"/>
    </row>
    <row r="17" spans="1:11" ht="30" customHeight="1" x14ac:dyDescent="0.25">
      <c r="A17" s="123" t="s">
        <v>9</v>
      </c>
      <c r="B17" s="123" t="s">
        <v>21</v>
      </c>
      <c r="C17" s="123"/>
      <c r="D17" s="123"/>
      <c r="E17" s="123" t="s">
        <v>22</v>
      </c>
      <c r="F17" s="123"/>
      <c r="G17" s="123"/>
      <c r="H17" s="123" t="s">
        <v>25</v>
      </c>
      <c r="I17" s="123" t="s">
        <v>26</v>
      </c>
      <c r="J17" s="123"/>
    </row>
    <row r="18" spans="1:11" ht="32.25" customHeight="1" x14ac:dyDescent="0.25">
      <c r="A18" s="130"/>
      <c r="B18" s="130"/>
      <c r="C18" s="130"/>
      <c r="D18" s="130"/>
      <c r="E18" s="3" t="s">
        <v>23</v>
      </c>
      <c r="F18" s="3" t="s">
        <v>24</v>
      </c>
      <c r="G18" s="3" t="s">
        <v>29</v>
      </c>
      <c r="H18" s="130"/>
      <c r="I18" s="3" t="s">
        <v>27</v>
      </c>
      <c r="J18" s="3" t="s">
        <v>28</v>
      </c>
    </row>
    <row r="19" spans="1:11" s="11" customFormat="1" ht="29.25" customHeight="1" x14ac:dyDescent="0.25">
      <c r="A19" s="9">
        <v>1</v>
      </c>
      <c r="B19" s="158" t="s">
        <v>160</v>
      </c>
      <c r="C19" s="159"/>
      <c r="D19" s="160"/>
      <c r="E19" s="5" t="s">
        <v>48</v>
      </c>
      <c r="F19" s="9">
        <v>130</v>
      </c>
      <c r="G19" s="14">
        <f t="shared" ref="G19" si="0">H19/F19</f>
        <v>11680</v>
      </c>
      <c r="H19" s="12">
        <f>I19+J19</f>
        <v>1518400</v>
      </c>
      <c r="I19" s="9">
        <v>1518400</v>
      </c>
      <c r="J19" s="12"/>
    </row>
    <row r="20" spans="1:11" s="11" customFormat="1" ht="33" customHeight="1" x14ac:dyDescent="0.25">
      <c r="A20" s="9">
        <v>2</v>
      </c>
      <c r="B20" s="158" t="s">
        <v>61</v>
      </c>
      <c r="C20" s="159"/>
      <c r="D20" s="160"/>
      <c r="E20" s="5" t="s">
        <v>48</v>
      </c>
      <c r="F20" s="9">
        <v>110</v>
      </c>
      <c r="G20" s="14">
        <f>H20/F20</f>
        <v>648.18181818181813</v>
      </c>
      <c r="H20" s="12">
        <f t="shared" ref="H20" si="1">I20+J20</f>
        <v>71300</v>
      </c>
      <c r="I20" s="9">
        <f>71280+20</f>
        <v>71300</v>
      </c>
      <c r="J20" s="12"/>
    </row>
    <row r="21" spans="1:11" ht="21" customHeight="1" x14ac:dyDescent="0.25">
      <c r="A21" s="168" t="s">
        <v>30</v>
      </c>
      <c r="B21" s="169"/>
      <c r="C21" s="169"/>
      <c r="D21" s="170"/>
      <c r="E21" s="171"/>
      <c r="F21" s="172"/>
      <c r="G21" s="173"/>
      <c r="H21" s="6">
        <f>SUM(H19:H20)</f>
        <v>1589700</v>
      </c>
      <c r="I21" s="6">
        <f>SUM(I19:I20)</f>
        <v>1589700</v>
      </c>
      <c r="J21" s="6">
        <f>SUM(J19:J20)</f>
        <v>0</v>
      </c>
    </row>
    <row r="22" spans="1:11" ht="8.1" customHeight="1" x14ac:dyDescent="0.25">
      <c r="A22" s="122"/>
      <c r="B22" s="122"/>
      <c r="C22" s="122"/>
      <c r="D22" s="122"/>
      <c r="E22" s="122"/>
      <c r="F22" s="122"/>
      <c r="G22" s="122"/>
      <c r="H22" s="122"/>
      <c r="I22" s="122"/>
      <c r="J22" s="122"/>
    </row>
    <row r="23" spans="1:11" ht="20.25" customHeight="1" x14ac:dyDescent="0.25">
      <c r="A23" s="15" t="s">
        <v>9</v>
      </c>
      <c r="B23" s="174" t="s">
        <v>31</v>
      </c>
      <c r="C23" s="174"/>
      <c r="D23" s="174"/>
      <c r="E23" s="174"/>
      <c r="F23" s="174"/>
      <c r="G23" s="174"/>
      <c r="H23" s="174"/>
      <c r="I23" s="174"/>
      <c r="J23" s="174"/>
    </row>
    <row r="24" spans="1:11" ht="174" customHeight="1" x14ac:dyDescent="0.25">
      <c r="A24" s="13">
        <v>1</v>
      </c>
      <c r="B24" s="183" t="s">
        <v>234</v>
      </c>
      <c r="C24" s="184"/>
      <c r="D24" s="184"/>
      <c r="E24" s="184"/>
      <c r="F24" s="184"/>
      <c r="G24" s="184"/>
      <c r="H24" s="184"/>
      <c r="I24" s="184"/>
      <c r="J24" s="184"/>
      <c r="K24" s="40"/>
    </row>
    <row r="25" spans="1:11" ht="30.75" customHeight="1" x14ac:dyDescent="0.25">
      <c r="A25" s="10"/>
      <c r="B25" s="138"/>
      <c r="C25" s="138"/>
      <c r="D25" s="138"/>
      <c r="E25" s="138"/>
      <c r="F25" s="138"/>
      <c r="G25" s="138"/>
      <c r="H25" s="138"/>
      <c r="I25" s="138"/>
      <c r="J25" s="138"/>
    </row>
    <row r="26" spans="1:11" x14ac:dyDescent="0.25">
      <c r="G26" s="1">
        <f>365*32</f>
        <v>11680</v>
      </c>
    </row>
  </sheetData>
  <mergeCells count="41">
    <mergeCell ref="B19:D19"/>
    <mergeCell ref="B20:D20"/>
    <mergeCell ref="B24:J24"/>
    <mergeCell ref="B25:J25"/>
    <mergeCell ref="A21:D21"/>
    <mergeCell ref="E21:G21"/>
    <mergeCell ref="A22:J22"/>
    <mergeCell ref="B23:J23"/>
    <mergeCell ref="A16:J16"/>
    <mergeCell ref="A17:A18"/>
    <mergeCell ref="B17:D18"/>
    <mergeCell ref="E17:G17"/>
    <mergeCell ref="H17:H18"/>
    <mergeCell ref="I17:J17"/>
    <mergeCell ref="B15:E15"/>
    <mergeCell ref="A9:B9"/>
    <mergeCell ref="C9:J9"/>
    <mergeCell ref="A10:B10"/>
    <mergeCell ref="C10:J10"/>
    <mergeCell ref="A11:J11"/>
    <mergeCell ref="A12:A13"/>
    <mergeCell ref="B12:E13"/>
    <mergeCell ref="F12:G12"/>
    <mergeCell ref="H12:J13"/>
    <mergeCell ref="B14:E14"/>
    <mergeCell ref="H14:J14"/>
    <mergeCell ref="H15:J15"/>
    <mergeCell ref="A8:B8"/>
    <mergeCell ref="C8:J8"/>
    <mergeCell ref="A1:J1"/>
    <mergeCell ref="A2:B2"/>
    <mergeCell ref="C2:E2"/>
    <mergeCell ref="F2:J2"/>
    <mergeCell ref="A3:B3"/>
    <mergeCell ref="C3:E3"/>
    <mergeCell ref="F3:J3"/>
    <mergeCell ref="A4:J4"/>
    <mergeCell ref="A5:B6"/>
    <mergeCell ref="C5:E6"/>
    <mergeCell ref="F5:F6"/>
    <mergeCell ref="A7:J7"/>
  </mergeCells>
  <pageMargins left="0.19685039370078741" right="0.19685039370078741" top="0.19685039370078741" bottom="0.19685039370078741" header="0.19685039370078741" footer="0.19685039370078741"/>
  <pageSetup paperSize="9" scale="8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48"/>
  <sheetViews>
    <sheetView view="pageBreakPreview" topLeftCell="A16" zoomScaleNormal="100" zoomScaleSheetLayoutView="100" workbookViewId="0">
      <selection activeCell="B34" sqref="B34:D34"/>
    </sheetView>
  </sheetViews>
  <sheetFormatPr defaultColWidth="9.140625" defaultRowHeight="12.75" x14ac:dyDescent="0.25"/>
  <cols>
    <col min="1" max="1" width="7.7109375" style="1" customWidth="1"/>
    <col min="2" max="2" width="14.42578125" style="1" customWidth="1"/>
    <col min="3" max="3" width="8.7109375" style="1" customWidth="1"/>
    <col min="4" max="10" width="18.7109375" style="1" customWidth="1"/>
    <col min="11" max="11" width="9.28515625" style="1" customWidth="1"/>
    <col min="12" max="12" width="11.5703125" style="94" customWidth="1"/>
    <col min="13" max="13" width="11.42578125" style="1" customWidth="1"/>
    <col min="14" max="14" width="12.42578125" style="1" customWidth="1"/>
    <col min="15" max="15" width="10" style="1" customWidth="1"/>
    <col min="16" max="16" width="9.140625" style="1"/>
    <col min="17" max="17" width="11.7109375" style="1" customWidth="1"/>
    <col min="18" max="18" width="12.42578125" style="1" customWidth="1"/>
    <col min="19" max="19" width="10.42578125" style="1" customWidth="1"/>
    <col min="20" max="16384" width="9.140625" style="1"/>
  </cols>
  <sheetData>
    <row r="1" spans="1:19" s="20" customFormat="1" ht="30.75" customHeight="1" x14ac:dyDescent="0.25">
      <c r="A1" s="120" t="s">
        <v>20</v>
      </c>
      <c r="B1" s="120"/>
      <c r="C1" s="120"/>
      <c r="D1" s="120"/>
      <c r="E1" s="120"/>
      <c r="F1" s="120"/>
      <c r="G1" s="120"/>
      <c r="H1" s="120"/>
      <c r="I1" s="120"/>
      <c r="J1" s="120"/>
    </row>
    <row r="2" spans="1:19" ht="39.75" customHeight="1" x14ac:dyDescent="0.25">
      <c r="A2" s="123" t="s">
        <v>12</v>
      </c>
      <c r="B2" s="123"/>
      <c r="C2" s="123" t="s">
        <v>0</v>
      </c>
      <c r="D2" s="123"/>
      <c r="E2" s="123"/>
      <c r="F2" s="123" t="s">
        <v>13</v>
      </c>
      <c r="G2" s="123"/>
      <c r="H2" s="123"/>
      <c r="I2" s="123"/>
      <c r="J2" s="123"/>
    </row>
    <row r="3" spans="1:19" ht="37.5" customHeight="1" x14ac:dyDescent="0.25">
      <c r="A3" s="139" t="s">
        <v>124</v>
      </c>
      <c r="B3" s="139"/>
      <c r="C3" s="129" t="s">
        <v>62</v>
      </c>
      <c r="D3" s="129"/>
      <c r="E3" s="129"/>
      <c r="F3" s="139" t="s">
        <v>35</v>
      </c>
      <c r="G3" s="139"/>
      <c r="H3" s="139"/>
      <c r="I3" s="139"/>
      <c r="J3" s="139"/>
    </row>
    <row r="4" spans="1:19" ht="8.1" customHeight="1" x14ac:dyDescent="0.25">
      <c r="A4" s="122"/>
      <c r="B4" s="122"/>
      <c r="C4" s="122"/>
      <c r="D4" s="122"/>
      <c r="E4" s="122"/>
      <c r="F4" s="122"/>
      <c r="G4" s="122"/>
      <c r="H4" s="122"/>
      <c r="I4" s="122"/>
      <c r="J4" s="122"/>
    </row>
    <row r="5" spans="1:19" ht="39.75" customHeight="1" x14ac:dyDescent="0.25">
      <c r="A5" s="123" t="s">
        <v>15</v>
      </c>
      <c r="B5" s="123"/>
      <c r="C5" s="140" t="s">
        <v>64</v>
      </c>
      <c r="D5" s="140"/>
      <c r="E5" s="140"/>
      <c r="F5" s="123" t="s">
        <v>14</v>
      </c>
      <c r="G5" s="2" t="s">
        <v>94</v>
      </c>
      <c r="H5" s="2" t="s">
        <v>102</v>
      </c>
      <c r="I5" s="2" t="s">
        <v>127</v>
      </c>
      <c r="J5" s="2" t="s">
        <v>205</v>
      </c>
    </row>
    <row r="6" spans="1:19" ht="24.75" customHeight="1" x14ac:dyDescent="0.25">
      <c r="A6" s="124"/>
      <c r="B6" s="124"/>
      <c r="C6" s="129"/>
      <c r="D6" s="129"/>
      <c r="E6" s="129"/>
      <c r="F6" s="124"/>
      <c r="G6" s="7">
        <f>H35</f>
        <v>7437163.2000000002</v>
      </c>
      <c r="H6" s="7">
        <f>8112434-34</f>
        <v>8112400</v>
      </c>
      <c r="I6" s="7">
        <f>8923677.4+22.6</f>
        <v>8923700</v>
      </c>
      <c r="J6" s="7">
        <f>9816045+55</f>
        <v>9816100</v>
      </c>
    </row>
    <row r="7" spans="1:19" ht="8.1" customHeight="1" x14ac:dyDescent="0.25">
      <c r="A7" s="122"/>
      <c r="B7" s="122"/>
      <c r="C7" s="122"/>
      <c r="D7" s="122"/>
      <c r="E7" s="122"/>
      <c r="F7" s="122"/>
      <c r="G7" s="122"/>
      <c r="H7" s="122"/>
      <c r="I7" s="122"/>
      <c r="J7" s="122"/>
    </row>
    <row r="8" spans="1:19" ht="30.75" customHeight="1" x14ac:dyDescent="0.25">
      <c r="A8" s="141" t="s">
        <v>16</v>
      </c>
      <c r="B8" s="141"/>
      <c r="C8" s="185" t="s">
        <v>65</v>
      </c>
      <c r="D8" s="185"/>
      <c r="E8" s="185"/>
      <c r="F8" s="185"/>
      <c r="G8" s="185"/>
      <c r="H8" s="185"/>
      <c r="I8" s="185"/>
      <c r="J8" s="185"/>
    </row>
    <row r="9" spans="1:19" ht="146.25" customHeight="1" x14ac:dyDescent="0.25">
      <c r="A9" s="143" t="s">
        <v>17</v>
      </c>
      <c r="B9" s="144"/>
      <c r="C9" s="145" t="s">
        <v>236</v>
      </c>
      <c r="D9" s="146"/>
      <c r="E9" s="146"/>
      <c r="F9" s="146"/>
      <c r="G9" s="146"/>
      <c r="H9" s="146"/>
      <c r="I9" s="146"/>
      <c r="J9" s="147"/>
    </row>
    <row r="10" spans="1:19" ht="47.25" customHeight="1" x14ac:dyDescent="0.25">
      <c r="A10" s="148" t="s">
        <v>18</v>
      </c>
      <c r="B10" s="148"/>
      <c r="C10" s="177" t="s">
        <v>173</v>
      </c>
      <c r="D10" s="191"/>
      <c r="E10" s="191"/>
      <c r="F10" s="191"/>
      <c r="G10" s="191"/>
      <c r="H10" s="191"/>
      <c r="I10" s="191"/>
      <c r="J10" s="191"/>
    </row>
    <row r="11" spans="1:19" ht="8.1" customHeight="1" x14ac:dyDescent="0.25">
      <c r="A11" s="122"/>
      <c r="B11" s="122"/>
      <c r="C11" s="122"/>
      <c r="D11" s="122"/>
      <c r="E11" s="122"/>
      <c r="F11" s="122"/>
      <c r="G11" s="122"/>
      <c r="H11" s="122"/>
      <c r="I11" s="122"/>
      <c r="J11" s="122"/>
    </row>
    <row r="12" spans="1:19" ht="20.25" customHeight="1" x14ac:dyDescent="0.25">
      <c r="A12" s="123" t="s">
        <v>9</v>
      </c>
      <c r="B12" s="123" t="s">
        <v>19</v>
      </c>
      <c r="C12" s="123"/>
      <c r="D12" s="123"/>
      <c r="E12" s="123"/>
      <c r="F12" s="123" t="s">
        <v>11</v>
      </c>
      <c r="G12" s="123"/>
      <c r="H12" s="116" t="s">
        <v>33</v>
      </c>
      <c r="I12" s="151"/>
      <c r="J12" s="117"/>
    </row>
    <row r="13" spans="1:19" ht="32.25" customHeight="1" x14ac:dyDescent="0.25">
      <c r="A13" s="130"/>
      <c r="B13" s="130"/>
      <c r="C13" s="130"/>
      <c r="D13" s="130"/>
      <c r="E13" s="130"/>
      <c r="F13" s="33" t="s">
        <v>208</v>
      </c>
      <c r="G13" s="33" t="s">
        <v>95</v>
      </c>
      <c r="H13" s="118"/>
      <c r="I13" s="152"/>
      <c r="J13" s="119"/>
      <c r="R13" s="1">
        <f>16500/2</f>
        <v>8250</v>
      </c>
    </row>
    <row r="14" spans="1:19" ht="38.25" customHeight="1" x14ac:dyDescent="0.25">
      <c r="A14" s="4">
        <v>1</v>
      </c>
      <c r="B14" s="153" t="s">
        <v>66</v>
      </c>
      <c r="C14" s="153"/>
      <c r="D14" s="153"/>
      <c r="E14" s="153"/>
      <c r="F14" s="4">
        <v>7650</v>
      </c>
      <c r="G14" s="22">
        <f>F22</f>
        <v>7650</v>
      </c>
      <c r="H14" s="175" t="s">
        <v>174</v>
      </c>
      <c r="I14" s="176"/>
      <c r="J14" s="176"/>
      <c r="Q14" s="1">
        <f>16500+1650</f>
        <v>18150</v>
      </c>
    </row>
    <row r="15" spans="1:19" ht="8.1" customHeight="1" x14ac:dyDescent="0.25">
      <c r="A15" s="122"/>
      <c r="B15" s="122"/>
      <c r="C15" s="122"/>
      <c r="D15" s="122"/>
      <c r="E15" s="122"/>
      <c r="F15" s="122"/>
      <c r="G15" s="122"/>
      <c r="H15" s="122"/>
      <c r="I15" s="122"/>
      <c r="J15" s="122"/>
    </row>
    <row r="16" spans="1:19" ht="30" customHeight="1" x14ac:dyDescent="0.25">
      <c r="A16" s="123" t="s">
        <v>9</v>
      </c>
      <c r="B16" s="123" t="s">
        <v>21</v>
      </c>
      <c r="C16" s="123"/>
      <c r="D16" s="123"/>
      <c r="E16" s="123" t="s">
        <v>22</v>
      </c>
      <c r="F16" s="123"/>
      <c r="G16" s="123"/>
      <c r="H16" s="123" t="s">
        <v>25</v>
      </c>
      <c r="I16" s="123" t="s">
        <v>26</v>
      </c>
      <c r="J16" s="123"/>
      <c r="N16" s="198" t="s">
        <v>26</v>
      </c>
      <c r="O16" s="198"/>
      <c r="Q16" s="58"/>
      <c r="R16" s="198" t="s">
        <v>26</v>
      </c>
      <c r="S16" s="198"/>
    </row>
    <row r="17" spans="1:19" ht="32.25" customHeight="1" x14ac:dyDescent="0.25">
      <c r="A17" s="130"/>
      <c r="B17" s="130"/>
      <c r="C17" s="130"/>
      <c r="D17" s="130"/>
      <c r="E17" s="3" t="s">
        <v>23</v>
      </c>
      <c r="F17" s="3" t="s">
        <v>24</v>
      </c>
      <c r="G17" s="3" t="s">
        <v>29</v>
      </c>
      <c r="H17" s="130"/>
      <c r="I17" s="3" t="s">
        <v>27</v>
      </c>
      <c r="J17" s="3" t="s">
        <v>28</v>
      </c>
      <c r="M17" s="55" t="s">
        <v>24</v>
      </c>
      <c r="N17" s="55" t="s">
        <v>27</v>
      </c>
      <c r="O17" s="55" t="s">
        <v>28</v>
      </c>
      <c r="Q17" s="55" t="s">
        <v>24</v>
      </c>
      <c r="R17" s="55" t="s">
        <v>27</v>
      </c>
      <c r="S17" s="55" t="s">
        <v>28</v>
      </c>
    </row>
    <row r="18" spans="1:19" s="11" customFormat="1" ht="23.25" customHeight="1" x14ac:dyDescent="0.25">
      <c r="A18" s="12">
        <v>1</v>
      </c>
      <c r="B18" s="195" t="s">
        <v>67</v>
      </c>
      <c r="C18" s="196"/>
      <c r="D18" s="197"/>
      <c r="E18" s="18"/>
      <c r="F18" s="12"/>
      <c r="G18" s="19"/>
      <c r="H18" s="12">
        <f>I18+J18</f>
        <v>2309200.2000000002</v>
      </c>
      <c r="I18" s="12">
        <f>SUM(I19:I21)</f>
        <v>2106600.2000000002</v>
      </c>
      <c r="J18" s="12">
        <f>SUM(J19:J21)</f>
        <v>202600</v>
      </c>
      <c r="L18" s="95"/>
      <c r="M18" s="56"/>
      <c r="N18" s="12">
        <f>SUM(N19:N21)</f>
        <v>2111300.2000000002</v>
      </c>
      <c r="O18" s="56">
        <f>SUM(O19:O21)</f>
        <v>177600</v>
      </c>
      <c r="Q18" s="56">
        <f>F18-M18</f>
        <v>0</v>
      </c>
      <c r="R18" s="85">
        <f>I18-N18</f>
        <v>-4700</v>
      </c>
      <c r="S18" s="56">
        <f>J18-O18</f>
        <v>25000</v>
      </c>
    </row>
    <row r="19" spans="1:19" s="11" customFormat="1" ht="26.25" customHeight="1" x14ac:dyDescent="0.25">
      <c r="A19" s="9"/>
      <c r="B19" s="134" t="s">
        <v>68</v>
      </c>
      <c r="C19" s="179"/>
      <c r="D19" s="135"/>
      <c r="E19" s="5" t="s">
        <v>72</v>
      </c>
      <c r="F19" s="9">
        <v>103</v>
      </c>
      <c r="G19" s="14">
        <f t="shared" ref="G19:G20" si="0">H19/F19</f>
        <v>18033.980582524273</v>
      </c>
      <c r="H19" s="9">
        <f t="shared" ref="H19:H35" si="1">I19+J19</f>
        <v>1857500</v>
      </c>
      <c r="I19" s="72">
        <f>1821500-130000+5000</f>
        <v>1696500</v>
      </c>
      <c r="J19" s="9">
        <v>161000</v>
      </c>
      <c r="K19" s="11">
        <v>118777</v>
      </c>
      <c r="L19" s="95">
        <f>K19*1.18*13</f>
        <v>1822039.1799999997</v>
      </c>
      <c r="M19" s="57">
        <v>103</v>
      </c>
      <c r="N19" s="9">
        <f>1821500-130000+5000</f>
        <v>1696500</v>
      </c>
      <c r="O19" s="57">
        <v>161000</v>
      </c>
      <c r="Q19" s="56">
        <f t="shared" ref="Q19:Q34" si="2">F19-M19</f>
        <v>0</v>
      </c>
      <c r="R19" s="85">
        <f t="shared" ref="R19:R34" si="3">I19-N19</f>
        <v>0</v>
      </c>
      <c r="S19" s="56">
        <f t="shared" ref="S19:S34" si="4">J19-O19</f>
        <v>0</v>
      </c>
    </row>
    <row r="20" spans="1:19" s="11" customFormat="1" ht="35.25" customHeight="1" x14ac:dyDescent="0.25">
      <c r="A20" s="9"/>
      <c r="B20" s="134" t="s">
        <v>69</v>
      </c>
      <c r="C20" s="179"/>
      <c r="D20" s="135"/>
      <c r="E20" s="5" t="s">
        <v>72</v>
      </c>
      <c r="F20" s="9">
        <v>2</v>
      </c>
      <c r="G20" s="14">
        <f t="shared" si="0"/>
        <v>21950.1</v>
      </c>
      <c r="H20" s="9">
        <f t="shared" si="1"/>
        <v>43900.2</v>
      </c>
      <c r="I20" s="72">
        <f>2430*1.18*13+24-5000</f>
        <v>32300.199999999997</v>
      </c>
      <c r="J20" s="9">
        <f>5600+6000</f>
        <v>11600</v>
      </c>
      <c r="K20" s="11">
        <v>2430</v>
      </c>
      <c r="L20" s="95">
        <f>K20*1.18*13</f>
        <v>37276.199999999997</v>
      </c>
      <c r="M20" s="57">
        <v>2</v>
      </c>
      <c r="N20" s="9">
        <f>2430*1.18*13+24-5000</f>
        <v>32300.199999999997</v>
      </c>
      <c r="O20" s="56">
        <v>5600</v>
      </c>
      <c r="Q20" s="56">
        <f t="shared" si="2"/>
        <v>0</v>
      </c>
      <c r="R20" s="85">
        <f t="shared" si="3"/>
        <v>0</v>
      </c>
      <c r="S20" s="56">
        <f t="shared" si="4"/>
        <v>6000</v>
      </c>
    </row>
    <row r="21" spans="1:19" s="11" customFormat="1" ht="28.5" customHeight="1" x14ac:dyDescent="0.25">
      <c r="A21" s="47"/>
      <c r="B21" s="192" t="s">
        <v>70</v>
      </c>
      <c r="C21" s="193"/>
      <c r="D21" s="194"/>
      <c r="E21" s="46"/>
      <c r="F21" s="47"/>
      <c r="G21" s="80"/>
      <c r="H21" s="9">
        <f t="shared" si="1"/>
        <v>407800</v>
      </c>
      <c r="I21" s="47">
        <f>383500-1000-4700</f>
        <v>377800</v>
      </c>
      <c r="J21" s="47">
        <f>11000+6000+13000</f>
        <v>30000</v>
      </c>
      <c r="L21" s="28"/>
      <c r="M21" s="57"/>
      <c r="N21" s="47">
        <f>383500-1000</f>
        <v>382500</v>
      </c>
      <c r="O21" s="57">
        <v>11000</v>
      </c>
      <c r="Q21" s="56">
        <f t="shared" si="2"/>
        <v>0</v>
      </c>
      <c r="R21" s="85">
        <f t="shared" si="3"/>
        <v>-4700</v>
      </c>
      <c r="S21" s="56">
        <f t="shared" si="4"/>
        <v>19000</v>
      </c>
    </row>
    <row r="22" spans="1:19" s="11" customFormat="1" ht="35.25" customHeight="1" x14ac:dyDescent="0.25">
      <c r="A22" s="48">
        <v>2</v>
      </c>
      <c r="B22" s="199" t="s">
        <v>71</v>
      </c>
      <c r="C22" s="200"/>
      <c r="D22" s="201"/>
      <c r="E22" s="46" t="s">
        <v>48</v>
      </c>
      <c r="F22" s="47">
        <v>7650</v>
      </c>
      <c r="G22" s="80">
        <f>H22/F22</f>
        <v>653.59477124183002</v>
      </c>
      <c r="H22" s="12">
        <f t="shared" si="1"/>
        <v>5000000</v>
      </c>
      <c r="I22" s="48">
        <v>5000000</v>
      </c>
      <c r="J22" s="48"/>
      <c r="L22" s="96"/>
      <c r="M22" s="57">
        <v>7650</v>
      </c>
      <c r="N22" s="48">
        <v>5000000</v>
      </c>
      <c r="O22" s="56"/>
      <c r="Q22" s="56">
        <f t="shared" si="2"/>
        <v>0</v>
      </c>
      <c r="R22" s="85">
        <f t="shared" si="3"/>
        <v>0</v>
      </c>
      <c r="S22" s="56">
        <f t="shared" si="4"/>
        <v>0</v>
      </c>
    </row>
    <row r="23" spans="1:19" s="11" customFormat="1" ht="26.25" customHeight="1" x14ac:dyDescent="0.25">
      <c r="A23" s="12">
        <v>3</v>
      </c>
      <c r="B23" s="195" t="s">
        <v>101</v>
      </c>
      <c r="C23" s="196"/>
      <c r="D23" s="197"/>
      <c r="E23" s="5"/>
      <c r="F23" s="9"/>
      <c r="G23" s="14"/>
      <c r="H23" s="12">
        <f t="shared" si="1"/>
        <v>127963</v>
      </c>
      <c r="I23" s="12">
        <f>SUM(I24:I34)</f>
        <v>32900</v>
      </c>
      <c r="J23" s="12">
        <f>SUM(J24:J34)</f>
        <v>95063</v>
      </c>
      <c r="L23" s="95"/>
      <c r="M23" s="57"/>
      <c r="N23" s="12">
        <f>SUM(N24:N34)</f>
        <v>28200</v>
      </c>
      <c r="O23" s="56">
        <f>SUM(O24:O34)</f>
        <v>65000</v>
      </c>
      <c r="Q23" s="56">
        <f t="shared" si="2"/>
        <v>0</v>
      </c>
      <c r="R23" s="85">
        <f t="shared" si="3"/>
        <v>4700</v>
      </c>
      <c r="S23" s="56">
        <f t="shared" si="4"/>
        <v>30063</v>
      </c>
    </row>
    <row r="24" spans="1:19" s="11" customFormat="1" ht="20.25" customHeight="1" x14ac:dyDescent="0.25">
      <c r="A24" s="9"/>
      <c r="B24" s="192" t="s">
        <v>190</v>
      </c>
      <c r="C24" s="193"/>
      <c r="D24" s="194"/>
      <c r="E24" s="5" t="s">
        <v>191</v>
      </c>
      <c r="F24" s="9">
        <v>4</v>
      </c>
      <c r="G24" s="14">
        <f>H24/F24</f>
        <v>17103.25</v>
      </c>
      <c r="H24" s="9">
        <f t="shared" si="1"/>
        <v>68413</v>
      </c>
      <c r="I24" s="9">
        <v>0</v>
      </c>
      <c r="J24" s="9">
        <f>60000+8413</f>
        <v>68413</v>
      </c>
      <c r="L24" s="95"/>
      <c r="M24" s="57">
        <v>4</v>
      </c>
      <c r="N24" s="9">
        <v>0</v>
      </c>
      <c r="O24" s="57">
        <v>60000</v>
      </c>
      <c r="Q24" s="56">
        <f t="shared" si="2"/>
        <v>0</v>
      </c>
      <c r="R24" s="85">
        <f t="shared" si="3"/>
        <v>0</v>
      </c>
      <c r="S24" s="56">
        <f t="shared" si="4"/>
        <v>8413</v>
      </c>
    </row>
    <row r="25" spans="1:19" s="11" customFormat="1" ht="20.25" customHeight="1" x14ac:dyDescent="0.25">
      <c r="A25" s="9"/>
      <c r="B25" s="134" t="s">
        <v>168</v>
      </c>
      <c r="C25" s="179"/>
      <c r="D25" s="135"/>
      <c r="E25" s="5" t="s">
        <v>170</v>
      </c>
      <c r="F25" s="9">
        <v>1</v>
      </c>
      <c r="G25" s="14">
        <f>H25/F25</f>
        <v>4000</v>
      </c>
      <c r="H25" s="9">
        <f t="shared" si="1"/>
        <v>4000</v>
      </c>
      <c r="I25" s="9">
        <v>4000</v>
      </c>
      <c r="J25" s="9"/>
      <c r="L25" s="95"/>
      <c r="M25" s="57">
        <v>1</v>
      </c>
      <c r="N25" s="9">
        <v>4000</v>
      </c>
      <c r="O25" s="57"/>
      <c r="Q25" s="56">
        <f t="shared" si="2"/>
        <v>0</v>
      </c>
      <c r="R25" s="85">
        <f t="shared" si="3"/>
        <v>0</v>
      </c>
      <c r="S25" s="56">
        <f t="shared" si="4"/>
        <v>0</v>
      </c>
    </row>
    <row r="26" spans="1:19" s="11" customFormat="1" ht="20.25" customHeight="1" x14ac:dyDescent="0.25">
      <c r="A26" s="9"/>
      <c r="B26" s="134" t="s">
        <v>228</v>
      </c>
      <c r="C26" s="179"/>
      <c r="D26" s="135"/>
      <c r="E26" s="5" t="s">
        <v>170</v>
      </c>
      <c r="F26" s="9">
        <v>2</v>
      </c>
      <c r="G26" s="14">
        <f>H26/F26</f>
        <v>3000</v>
      </c>
      <c r="H26" s="9">
        <f t="shared" si="1"/>
        <v>6000</v>
      </c>
      <c r="I26" s="9">
        <v>6000</v>
      </c>
      <c r="J26" s="9"/>
      <c r="L26" s="95"/>
      <c r="M26" s="57">
        <v>2</v>
      </c>
      <c r="N26" s="9">
        <v>6000</v>
      </c>
      <c r="O26" s="57"/>
      <c r="Q26" s="56">
        <f t="shared" si="2"/>
        <v>0</v>
      </c>
      <c r="R26" s="85">
        <f t="shared" si="3"/>
        <v>0</v>
      </c>
      <c r="S26" s="56">
        <f t="shared" si="4"/>
        <v>0</v>
      </c>
    </row>
    <row r="27" spans="1:19" s="109" customFormat="1" ht="20.25" customHeight="1" x14ac:dyDescent="0.25">
      <c r="A27" s="9"/>
      <c r="B27" s="192" t="s">
        <v>169</v>
      </c>
      <c r="C27" s="193"/>
      <c r="D27" s="194"/>
      <c r="E27" s="5" t="s">
        <v>170</v>
      </c>
      <c r="F27" s="9">
        <v>0</v>
      </c>
      <c r="G27" s="14"/>
      <c r="H27" s="9">
        <f t="shared" ref="H27" si="5">I27+J27</f>
        <v>0</v>
      </c>
      <c r="I27" s="9">
        <v>0</v>
      </c>
      <c r="J27" s="9"/>
      <c r="M27" s="57">
        <v>1</v>
      </c>
      <c r="N27" s="9">
        <v>3000</v>
      </c>
      <c r="O27" s="57"/>
      <c r="Q27" s="56">
        <f t="shared" ref="Q27" si="6">F27-M27</f>
        <v>-1</v>
      </c>
      <c r="R27" s="85">
        <f t="shared" ref="R27" si="7">I27-N27</f>
        <v>-3000</v>
      </c>
      <c r="S27" s="56">
        <f t="shared" ref="S27" si="8">J27-O27</f>
        <v>0</v>
      </c>
    </row>
    <row r="28" spans="1:19" s="11" customFormat="1" ht="20.25" customHeight="1" x14ac:dyDescent="0.25">
      <c r="A28" s="9"/>
      <c r="B28" s="192" t="s">
        <v>253</v>
      </c>
      <c r="C28" s="193"/>
      <c r="D28" s="194"/>
      <c r="E28" s="5" t="s">
        <v>170</v>
      </c>
      <c r="F28" s="9">
        <v>1</v>
      </c>
      <c r="G28" s="14"/>
      <c r="H28" s="9">
        <f t="shared" si="1"/>
        <v>1000</v>
      </c>
      <c r="I28" s="9">
        <v>1000</v>
      </c>
      <c r="J28" s="9"/>
      <c r="L28" s="95"/>
      <c r="M28" s="57"/>
      <c r="N28" s="9"/>
      <c r="O28" s="57"/>
      <c r="Q28" s="56">
        <f t="shared" si="2"/>
        <v>1</v>
      </c>
      <c r="R28" s="85">
        <f t="shared" si="3"/>
        <v>1000</v>
      </c>
      <c r="S28" s="56">
        <f t="shared" si="4"/>
        <v>0</v>
      </c>
    </row>
    <row r="29" spans="1:19" s="11" customFormat="1" ht="20.25" customHeight="1" x14ac:dyDescent="0.25">
      <c r="A29" s="30"/>
      <c r="B29" s="134" t="s">
        <v>229</v>
      </c>
      <c r="C29" s="179"/>
      <c r="D29" s="135"/>
      <c r="E29" s="5" t="s">
        <v>170</v>
      </c>
      <c r="F29" s="9">
        <f>2+7</f>
        <v>9</v>
      </c>
      <c r="G29" s="14"/>
      <c r="H29" s="9">
        <f t="shared" si="1"/>
        <v>6600</v>
      </c>
      <c r="I29" s="9">
        <v>1600</v>
      </c>
      <c r="J29" s="9">
        <v>5000</v>
      </c>
      <c r="L29" s="95"/>
      <c r="M29" s="57">
        <v>2</v>
      </c>
      <c r="N29" s="9">
        <v>1600</v>
      </c>
      <c r="O29" s="57">
        <v>5000</v>
      </c>
      <c r="Q29" s="56">
        <f t="shared" si="2"/>
        <v>7</v>
      </c>
      <c r="R29" s="85">
        <f t="shared" si="3"/>
        <v>0</v>
      </c>
      <c r="S29" s="56">
        <f t="shared" si="4"/>
        <v>0</v>
      </c>
    </row>
    <row r="30" spans="1:19" s="11" customFormat="1" ht="20.25" customHeight="1" x14ac:dyDescent="0.25">
      <c r="A30" s="9"/>
      <c r="B30" s="192" t="s">
        <v>108</v>
      </c>
      <c r="C30" s="193"/>
      <c r="D30" s="194"/>
      <c r="E30" s="5" t="s">
        <v>170</v>
      </c>
      <c r="F30" s="9">
        <f>5+7</f>
        <v>12</v>
      </c>
      <c r="G30" s="14">
        <f>H30/F30</f>
        <v>1429.1666666666667</v>
      </c>
      <c r="H30" s="9">
        <f t="shared" si="1"/>
        <v>17150</v>
      </c>
      <c r="I30" s="9">
        <f>10000+4700+2000+450</f>
        <v>17150</v>
      </c>
      <c r="J30" s="9"/>
      <c r="L30" s="95"/>
      <c r="M30" s="57">
        <v>5</v>
      </c>
      <c r="N30" s="9">
        <v>10000</v>
      </c>
      <c r="O30" s="57"/>
      <c r="Q30" s="56">
        <f t="shared" si="2"/>
        <v>7</v>
      </c>
      <c r="R30" s="85">
        <f t="shared" si="3"/>
        <v>7150</v>
      </c>
      <c r="S30" s="56">
        <f t="shared" si="4"/>
        <v>0</v>
      </c>
    </row>
    <row r="31" spans="1:19" s="109" customFormat="1" ht="20.25" customHeight="1" x14ac:dyDescent="0.25">
      <c r="A31" s="9"/>
      <c r="B31" s="192" t="s">
        <v>230</v>
      </c>
      <c r="C31" s="193"/>
      <c r="D31" s="194"/>
      <c r="E31" s="5" t="s">
        <v>170</v>
      </c>
      <c r="F31" s="9">
        <v>3</v>
      </c>
      <c r="G31" s="14"/>
      <c r="H31" s="9">
        <f t="shared" ref="H31:H33" si="9">I31+J31</f>
        <v>3150</v>
      </c>
      <c r="I31" s="9">
        <f>3600-450</f>
        <v>3150</v>
      </c>
      <c r="J31" s="9"/>
      <c r="M31" s="57">
        <v>3</v>
      </c>
      <c r="N31" s="9">
        <v>3600</v>
      </c>
      <c r="O31" s="57"/>
      <c r="Q31" s="56">
        <f t="shared" ref="Q31:Q33" si="10">F31-M31</f>
        <v>0</v>
      </c>
      <c r="R31" s="85">
        <f t="shared" ref="R31:R33" si="11">I31-N31</f>
        <v>-450</v>
      </c>
      <c r="S31" s="56">
        <f t="shared" ref="S31:S33" si="12">J31-O31</f>
        <v>0</v>
      </c>
    </row>
    <row r="32" spans="1:19" s="109" customFormat="1" ht="20.25" customHeight="1" x14ac:dyDescent="0.25">
      <c r="A32" s="9"/>
      <c r="B32" s="192" t="s">
        <v>250</v>
      </c>
      <c r="C32" s="193"/>
      <c r="D32" s="194"/>
      <c r="E32" s="5" t="s">
        <v>170</v>
      </c>
      <c r="F32" s="9">
        <v>1</v>
      </c>
      <c r="G32" s="14"/>
      <c r="H32" s="9">
        <f t="shared" si="9"/>
        <v>5250</v>
      </c>
      <c r="I32" s="9"/>
      <c r="J32" s="9">
        <v>5250</v>
      </c>
      <c r="M32" s="57"/>
      <c r="N32" s="9"/>
      <c r="O32" s="57"/>
      <c r="Q32" s="56">
        <f t="shared" si="10"/>
        <v>1</v>
      </c>
      <c r="R32" s="85">
        <f t="shared" si="11"/>
        <v>0</v>
      </c>
      <c r="S32" s="56">
        <f t="shared" si="12"/>
        <v>5250</v>
      </c>
    </row>
    <row r="33" spans="1:19" s="109" customFormat="1" ht="20.25" customHeight="1" x14ac:dyDescent="0.25">
      <c r="A33" s="9"/>
      <c r="B33" s="192" t="s">
        <v>251</v>
      </c>
      <c r="C33" s="193"/>
      <c r="D33" s="194"/>
      <c r="E33" s="5" t="s">
        <v>170</v>
      </c>
      <c r="F33" s="9">
        <v>1</v>
      </c>
      <c r="G33" s="14"/>
      <c r="H33" s="9">
        <f t="shared" si="9"/>
        <v>15000</v>
      </c>
      <c r="I33" s="9"/>
      <c r="J33" s="9">
        <v>15000</v>
      </c>
      <c r="M33" s="57"/>
      <c r="N33" s="9"/>
      <c r="O33" s="57"/>
      <c r="Q33" s="56">
        <f t="shared" si="10"/>
        <v>1</v>
      </c>
      <c r="R33" s="85">
        <f t="shared" si="11"/>
        <v>0</v>
      </c>
      <c r="S33" s="56">
        <f t="shared" si="12"/>
        <v>15000</v>
      </c>
    </row>
    <row r="34" spans="1:19" s="11" customFormat="1" ht="20.25" customHeight="1" x14ac:dyDescent="0.25">
      <c r="A34" s="9"/>
      <c r="B34" s="192" t="s">
        <v>252</v>
      </c>
      <c r="C34" s="193"/>
      <c r="D34" s="194"/>
      <c r="E34" s="5" t="s">
        <v>170</v>
      </c>
      <c r="F34" s="9">
        <v>2</v>
      </c>
      <c r="G34" s="14"/>
      <c r="H34" s="9">
        <f t="shared" si="1"/>
        <v>1400</v>
      </c>
      <c r="I34" s="9"/>
      <c r="J34" s="9">
        <v>1400</v>
      </c>
      <c r="L34" s="95"/>
      <c r="M34" s="57"/>
      <c r="N34" s="9"/>
      <c r="O34" s="57"/>
      <c r="Q34" s="56">
        <f t="shared" si="2"/>
        <v>2</v>
      </c>
      <c r="R34" s="85">
        <f t="shared" si="3"/>
        <v>0</v>
      </c>
      <c r="S34" s="56">
        <f t="shared" si="4"/>
        <v>1400</v>
      </c>
    </row>
    <row r="35" spans="1:19" ht="21" customHeight="1" x14ac:dyDescent="0.25">
      <c r="A35" s="168" t="s">
        <v>30</v>
      </c>
      <c r="B35" s="169"/>
      <c r="C35" s="169"/>
      <c r="D35" s="170"/>
      <c r="E35" s="171"/>
      <c r="F35" s="172"/>
      <c r="G35" s="173"/>
      <c r="H35" s="12">
        <f t="shared" si="1"/>
        <v>7437163.2000000002</v>
      </c>
      <c r="I35" s="6">
        <f>I18+I22+I23</f>
        <v>7139500.2000000002</v>
      </c>
      <c r="J35" s="6">
        <f>J18+J22+J23</f>
        <v>297663</v>
      </c>
      <c r="K35" s="23">
        <f>I35-I19-I23</f>
        <v>5410100.2000000002</v>
      </c>
      <c r="M35" s="58"/>
      <c r="N35" s="9">
        <f>N18+N22+N23</f>
        <v>7139500.2000000002</v>
      </c>
      <c r="O35" s="56">
        <f>O18+O22+O23</f>
        <v>242600</v>
      </c>
      <c r="Q35" s="56">
        <f t="shared" ref="Q35" si="13">F35-M35</f>
        <v>0</v>
      </c>
      <c r="R35" s="85">
        <f t="shared" ref="R35" si="14">I35-N35</f>
        <v>0</v>
      </c>
      <c r="S35" s="56">
        <f t="shared" ref="S35" si="15">J35-O35</f>
        <v>55063</v>
      </c>
    </row>
    <row r="36" spans="1:19" ht="8.1" customHeight="1" x14ac:dyDescent="0.25">
      <c r="A36" s="122"/>
      <c r="B36" s="122"/>
      <c r="C36" s="122"/>
      <c r="D36" s="122"/>
      <c r="E36" s="122"/>
      <c r="F36" s="122"/>
      <c r="G36" s="122"/>
      <c r="H36" s="122"/>
      <c r="I36" s="122"/>
      <c r="J36" s="122"/>
      <c r="N36" s="9">
        <v>25000</v>
      </c>
    </row>
    <row r="37" spans="1:19" ht="20.25" customHeight="1" x14ac:dyDescent="0.25">
      <c r="A37" s="15" t="s">
        <v>9</v>
      </c>
      <c r="B37" s="174" t="s">
        <v>31</v>
      </c>
      <c r="C37" s="174"/>
      <c r="D37" s="174"/>
      <c r="E37" s="174"/>
      <c r="F37" s="174"/>
      <c r="G37" s="174"/>
      <c r="H37" s="174"/>
      <c r="I37" s="174"/>
      <c r="J37" s="174"/>
      <c r="N37" s="6">
        <f>N18+N22+N23</f>
        <v>7139500.2000000002</v>
      </c>
    </row>
    <row r="38" spans="1:19" s="45" customFormat="1" ht="33.75" customHeight="1" x14ac:dyDescent="0.25">
      <c r="A38" s="13">
        <v>1</v>
      </c>
      <c r="B38" s="183" t="s">
        <v>175</v>
      </c>
      <c r="C38" s="184"/>
      <c r="D38" s="184"/>
      <c r="E38" s="184"/>
      <c r="F38" s="184"/>
      <c r="G38" s="184"/>
      <c r="H38" s="184"/>
      <c r="I38" s="184"/>
      <c r="J38" s="184"/>
      <c r="L38" s="94"/>
      <c r="M38" s="23">
        <f>I19+I20+I21-5000-1500</f>
        <v>2100100.2000000002</v>
      </c>
      <c r="N38" s="23"/>
    </row>
    <row r="39" spans="1:19" ht="26.25" customHeight="1" x14ac:dyDescent="0.25">
      <c r="A39" s="13">
        <v>2</v>
      </c>
      <c r="B39" s="183" t="s">
        <v>176</v>
      </c>
      <c r="C39" s="184"/>
      <c r="D39" s="184"/>
      <c r="E39" s="184"/>
      <c r="F39" s="184"/>
      <c r="G39" s="184"/>
      <c r="H39" s="184"/>
      <c r="I39" s="184"/>
      <c r="J39" s="184"/>
      <c r="M39" s="23">
        <f>I20+I21+I22-5000-1500</f>
        <v>5403600.2000000002</v>
      </c>
      <c r="N39" s="23"/>
    </row>
    <row r="40" spans="1:19" ht="30.75" customHeight="1" x14ac:dyDescent="0.25">
      <c r="A40" s="10"/>
      <c r="B40" s="138"/>
      <c r="C40" s="138"/>
      <c r="D40" s="138"/>
      <c r="E40" s="138"/>
      <c r="F40" s="138"/>
      <c r="G40" s="138"/>
      <c r="H40" s="138"/>
      <c r="I40" s="138"/>
      <c r="J40" s="138"/>
    </row>
    <row r="42" spans="1:19" x14ac:dyDescent="0.25">
      <c r="J42" s="23"/>
    </row>
    <row r="43" spans="1:19" x14ac:dyDescent="0.25">
      <c r="I43" s="23">
        <f>I35-I19-18000-28200</f>
        <v>5396800.2000000002</v>
      </c>
    </row>
    <row r="45" spans="1:19" x14ac:dyDescent="0.25">
      <c r="I45" s="23"/>
    </row>
    <row r="46" spans="1:19" x14ac:dyDescent="0.25">
      <c r="I46" s="23"/>
    </row>
    <row r="48" spans="1:19" x14ac:dyDescent="0.25">
      <c r="L48" s="94">
        <f>6000+6000+13000+5250+15000+8413+1400</f>
        <v>55063</v>
      </c>
    </row>
  </sheetData>
  <mergeCells count="57">
    <mergeCell ref="B29:D29"/>
    <mergeCell ref="B40:J40"/>
    <mergeCell ref="A35:D35"/>
    <mergeCell ref="E35:G35"/>
    <mergeCell ref="A36:J36"/>
    <mergeCell ref="B37:J37"/>
    <mergeCell ref="B39:J39"/>
    <mergeCell ref="B30:D30"/>
    <mergeCell ref="B34:D34"/>
    <mergeCell ref="B38:J38"/>
    <mergeCell ref="B31:D31"/>
    <mergeCell ref="B32:D32"/>
    <mergeCell ref="B33:D33"/>
    <mergeCell ref="A15:J15"/>
    <mergeCell ref="A16:A17"/>
    <mergeCell ref="B16:D17"/>
    <mergeCell ref="E16:G16"/>
    <mergeCell ref="H16:H17"/>
    <mergeCell ref="I16:J16"/>
    <mergeCell ref="A12:A13"/>
    <mergeCell ref="B12:E13"/>
    <mergeCell ref="F12:G12"/>
    <mergeCell ref="H12:J13"/>
    <mergeCell ref="H14:J14"/>
    <mergeCell ref="A9:B9"/>
    <mergeCell ref="C9:J9"/>
    <mergeCell ref="A10:B10"/>
    <mergeCell ref="C10:J10"/>
    <mergeCell ref="A11:J11"/>
    <mergeCell ref="R16:S16"/>
    <mergeCell ref="A8:B8"/>
    <mergeCell ref="C8:J8"/>
    <mergeCell ref="A1:J1"/>
    <mergeCell ref="A2:B2"/>
    <mergeCell ref="C2:E2"/>
    <mergeCell ref="F2:J2"/>
    <mergeCell ref="A3:B3"/>
    <mergeCell ref="C3:E3"/>
    <mergeCell ref="F3:J3"/>
    <mergeCell ref="A4:J4"/>
    <mergeCell ref="A5:B6"/>
    <mergeCell ref="C5:E6"/>
    <mergeCell ref="F5:F6"/>
    <mergeCell ref="A7:J7"/>
    <mergeCell ref="B14:E14"/>
    <mergeCell ref="B28:D28"/>
    <mergeCell ref="B23:D23"/>
    <mergeCell ref="N16:O16"/>
    <mergeCell ref="B22:D22"/>
    <mergeCell ref="B26:D26"/>
    <mergeCell ref="B21:D21"/>
    <mergeCell ref="B20:D20"/>
    <mergeCell ref="B19:D19"/>
    <mergeCell ref="B18:D18"/>
    <mergeCell ref="B24:D24"/>
    <mergeCell ref="B25:D25"/>
    <mergeCell ref="B27:D27"/>
  </mergeCells>
  <pageMargins left="0.19685039370078741" right="0.19685039370078741" top="0.19685039370078741" bottom="0.19685039370078741" header="0.19685039370078741" footer="0.19685039370078741"/>
  <pageSetup paperSize="9"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38"/>
  <sheetViews>
    <sheetView view="pageBreakPreview" topLeftCell="A13" zoomScaleNormal="100" zoomScaleSheetLayoutView="100" workbookViewId="0">
      <selection activeCell="G22" sqref="G22"/>
    </sheetView>
  </sheetViews>
  <sheetFormatPr defaultColWidth="9.140625" defaultRowHeight="12.75" x14ac:dyDescent="0.25"/>
  <cols>
    <col min="1" max="1" width="7.7109375" style="75" customWidth="1"/>
    <col min="2" max="2" width="14.42578125" style="75" customWidth="1"/>
    <col min="3" max="3" width="8.7109375" style="75" customWidth="1"/>
    <col min="4" max="10" width="18.7109375" style="75" customWidth="1"/>
    <col min="11" max="12" width="12.85546875" style="1" customWidth="1"/>
    <col min="13" max="13" width="10.42578125" style="31" customWidth="1"/>
    <col min="14" max="14" width="11.85546875" style="1" customWidth="1"/>
    <col min="15" max="15" width="13.7109375" style="1" customWidth="1"/>
    <col min="16" max="16" width="15" style="1" customWidth="1"/>
    <col min="17" max="17" width="19.7109375" style="1" customWidth="1"/>
    <col min="18" max="16384" width="9.140625" style="1"/>
  </cols>
  <sheetData>
    <row r="1" spans="1:10" s="20" customFormat="1" ht="30.75" customHeight="1" x14ac:dyDescent="0.25">
      <c r="A1" s="209" t="s">
        <v>20</v>
      </c>
      <c r="B1" s="209"/>
      <c r="C1" s="209"/>
      <c r="D1" s="209"/>
      <c r="E1" s="209"/>
      <c r="F1" s="209"/>
      <c r="G1" s="209"/>
      <c r="H1" s="209"/>
      <c r="I1" s="209"/>
      <c r="J1" s="209"/>
    </row>
    <row r="2" spans="1:10" ht="30.75" customHeight="1" x14ac:dyDescent="0.25">
      <c r="A2" s="123" t="s">
        <v>12</v>
      </c>
      <c r="B2" s="123"/>
      <c r="C2" s="123" t="s">
        <v>0</v>
      </c>
      <c r="D2" s="123"/>
      <c r="E2" s="123"/>
      <c r="F2" s="123" t="s">
        <v>13</v>
      </c>
      <c r="G2" s="123"/>
      <c r="H2" s="123"/>
      <c r="I2" s="123"/>
      <c r="J2" s="123"/>
    </row>
    <row r="3" spans="1:10" ht="25.5" customHeight="1" x14ac:dyDescent="0.25">
      <c r="A3" s="139" t="s">
        <v>63</v>
      </c>
      <c r="B3" s="139"/>
      <c r="C3" s="129" t="s">
        <v>201</v>
      </c>
      <c r="D3" s="129"/>
      <c r="E3" s="129"/>
      <c r="F3" s="139" t="s">
        <v>35</v>
      </c>
      <c r="G3" s="139"/>
      <c r="H3" s="139"/>
      <c r="I3" s="139"/>
      <c r="J3" s="139"/>
    </row>
    <row r="4" spans="1:10" ht="8.1" customHeight="1" x14ac:dyDescent="0.25">
      <c r="A4" s="204"/>
      <c r="B4" s="204"/>
      <c r="C4" s="204"/>
      <c r="D4" s="204"/>
      <c r="E4" s="204"/>
      <c r="F4" s="204"/>
      <c r="G4" s="204"/>
      <c r="H4" s="204"/>
      <c r="I4" s="204"/>
      <c r="J4" s="204"/>
    </row>
    <row r="5" spans="1:10" ht="39.75" customHeight="1" x14ac:dyDescent="0.25">
      <c r="A5" s="123" t="s">
        <v>15</v>
      </c>
      <c r="B5" s="123"/>
      <c r="C5" s="140" t="s">
        <v>64</v>
      </c>
      <c r="D5" s="140"/>
      <c r="E5" s="140"/>
      <c r="F5" s="123" t="s">
        <v>14</v>
      </c>
      <c r="G5" s="2" t="s">
        <v>94</v>
      </c>
      <c r="H5" s="2" t="s">
        <v>102</v>
      </c>
      <c r="I5" s="2" t="s">
        <v>127</v>
      </c>
      <c r="J5" s="2" t="s">
        <v>205</v>
      </c>
    </row>
    <row r="6" spans="1:10" ht="24.75" customHeight="1" x14ac:dyDescent="0.25">
      <c r="A6" s="124"/>
      <c r="B6" s="124"/>
      <c r="C6" s="129"/>
      <c r="D6" s="129"/>
      <c r="E6" s="129"/>
      <c r="F6" s="124"/>
      <c r="G6" s="7">
        <f>H28</f>
        <v>966900</v>
      </c>
      <c r="H6" s="7">
        <f>G6*1.05+55</f>
        <v>1015300</v>
      </c>
      <c r="I6" s="7">
        <f>H6*1.05+35</f>
        <v>1066100</v>
      </c>
      <c r="J6" s="7">
        <f>I6*1.05-5</f>
        <v>1119400</v>
      </c>
    </row>
    <row r="7" spans="1:10" ht="8.1" customHeight="1" x14ac:dyDescent="0.25">
      <c r="A7" s="204"/>
      <c r="B7" s="204"/>
      <c r="C7" s="204"/>
      <c r="D7" s="204"/>
      <c r="E7" s="204"/>
      <c r="F7" s="204"/>
      <c r="G7" s="204"/>
      <c r="H7" s="204"/>
      <c r="I7" s="204"/>
      <c r="J7" s="204"/>
    </row>
    <row r="8" spans="1:10" ht="42" customHeight="1" x14ac:dyDescent="0.25">
      <c r="A8" s="141" t="s">
        <v>16</v>
      </c>
      <c r="B8" s="141"/>
      <c r="C8" s="142" t="s">
        <v>203</v>
      </c>
      <c r="D8" s="142"/>
      <c r="E8" s="142"/>
      <c r="F8" s="142"/>
      <c r="G8" s="142"/>
      <c r="H8" s="142"/>
      <c r="I8" s="142"/>
      <c r="J8" s="142"/>
    </row>
    <row r="9" spans="1:10" ht="322.5" customHeight="1" x14ac:dyDescent="0.25">
      <c r="A9" s="143" t="s">
        <v>17</v>
      </c>
      <c r="B9" s="144"/>
      <c r="C9" s="205" t="s">
        <v>239</v>
      </c>
      <c r="D9" s="206"/>
      <c r="E9" s="206"/>
      <c r="F9" s="206"/>
      <c r="G9" s="206"/>
      <c r="H9" s="206"/>
      <c r="I9" s="206"/>
      <c r="J9" s="207"/>
    </row>
    <row r="10" spans="1:10" ht="45" customHeight="1" x14ac:dyDescent="0.25">
      <c r="A10" s="143" t="s">
        <v>18</v>
      </c>
      <c r="B10" s="144"/>
      <c r="C10" s="186" t="s">
        <v>204</v>
      </c>
      <c r="D10" s="208"/>
      <c r="E10" s="208"/>
      <c r="F10" s="208"/>
      <c r="G10" s="208"/>
      <c r="H10" s="208"/>
      <c r="I10" s="208"/>
      <c r="J10" s="208"/>
    </row>
    <row r="11" spans="1:10" ht="8.1" customHeight="1" x14ac:dyDescent="0.25">
      <c r="A11" s="204"/>
      <c r="B11" s="204"/>
      <c r="C11" s="204"/>
      <c r="D11" s="204"/>
      <c r="E11" s="204"/>
      <c r="F11" s="204"/>
      <c r="G11" s="204"/>
      <c r="H11" s="204"/>
      <c r="I11" s="204"/>
      <c r="J11" s="204"/>
    </row>
    <row r="12" spans="1:10" ht="20.25" customHeight="1" x14ac:dyDescent="0.25">
      <c r="A12" s="123" t="s">
        <v>9</v>
      </c>
      <c r="B12" s="123" t="s">
        <v>19</v>
      </c>
      <c r="C12" s="123"/>
      <c r="D12" s="123"/>
      <c r="E12" s="123"/>
      <c r="F12" s="123" t="s">
        <v>11</v>
      </c>
      <c r="G12" s="123"/>
      <c r="H12" s="116" t="s">
        <v>33</v>
      </c>
      <c r="I12" s="151"/>
      <c r="J12" s="117"/>
    </row>
    <row r="13" spans="1:10" ht="32.25" customHeight="1" x14ac:dyDescent="0.25">
      <c r="A13" s="130"/>
      <c r="B13" s="130"/>
      <c r="C13" s="130"/>
      <c r="D13" s="130"/>
      <c r="E13" s="130"/>
      <c r="F13" s="69" t="s">
        <v>208</v>
      </c>
      <c r="G13" s="69" t="s">
        <v>95</v>
      </c>
      <c r="H13" s="118"/>
      <c r="I13" s="152"/>
      <c r="J13" s="119"/>
    </row>
    <row r="14" spans="1:10" ht="23.25" customHeight="1" x14ac:dyDescent="0.25">
      <c r="A14" s="70">
        <v>1</v>
      </c>
      <c r="B14" s="153" t="s">
        <v>115</v>
      </c>
      <c r="C14" s="153"/>
      <c r="D14" s="153"/>
      <c r="E14" s="153"/>
      <c r="F14" s="70">
        <v>70</v>
      </c>
      <c r="G14" s="70">
        <v>70</v>
      </c>
      <c r="H14" s="202" t="s">
        <v>171</v>
      </c>
      <c r="I14" s="203"/>
      <c r="J14" s="203"/>
    </row>
    <row r="15" spans="1:10" ht="8.1" customHeight="1" x14ac:dyDescent="0.25">
      <c r="A15" s="204"/>
      <c r="B15" s="204"/>
      <c r="C15" s="204"/>
      <c r="D15" s="204"/>
      <c r="E15" s="204"/>
      <c r="F15" s="204"/>
      <c r="G15" s="204"/>
      <c r="H15" s="204"/>
      <c r="I15" s="204"/>
      <c r="J15" s="204"/>
    </row>
    <row r="16" spans="1:10" ht="16.5" customHeight="1" x14ac:dyDescent="0.25">
      <c r="A16" s="123" t="s">
        <v>9</v>
      </c>
      <c r="B16" s="123" t="s">
        <v>21</v>
      </c>
      <c r="C16" s="123"/>
      <c r="D16" s="123"/>
      <c r="E16" s="123" t="s">
        <v>22</v>
      </c>
      <c r="F16" s="123"/>
      <c r="G16" s="123"/>
      <c r="H16" s="123" t="s">
        <v>25</v>
      </c>
      <c r="I16" s="123" t="s">
        <v>26</v>
      </c>
      <c r="J16" s="123"/>
    </row>
    <row r="17" spans="1:18" ht="32.25" customHeight="1" x14ac:dyDescent="0.25">
      <c r="A17" s="130"/>
      <c r="B17" s="130"/>
      <c r="C17" s="130"/>
      <c r="D17" s="130"/>
      <c r="E17" s="69" t="s">
        <v>23</v>
      </c>
      <c r="F17" s="69" t="s">
        <v>24</v>
      </c>
      <c r="G17" s="69" t="s">
        <v>29</v>
      </c>
      <c r="H17" s="130"/>
      <c r="I17" s="69" t="s">
        <v>27</v>
      </c>
      <c r="J17" s="69" t="s">
        <v>28</v>
      </c>
      <c r="K17" s="55" t="s">
        <v>24</v>
      </c>
      <c r="L17" s="55" t="s">
        <v>27</v>
      </c>
      <c r="N17" s="55" t="s">
        <v>24</v>
      </c>
      <c r="O17" s="55" t="s">
        <v>27</v>
      </c>
    </row>
    <row r="18" spans="1:18" s="11" customFormat="1" ht="28.5" customHeight="1" x14ac:dyDescent="0.25">
      <c r="A18" s="71">
        <v>1</v>
      </c>
      <c r="B18" s="195" t="s">
        <v>67</v>
      </c>
      <c r="C18" s="196"/>
      <c r="D18" s="197"/>
      <c r="E18" s="18"/>
      <c r="F18" s="71"/>
      <c r="G18" s="19"/>
      <c r="H18" s="87">
        <f>I18+J18</f>
        <v>876350</v>
      </c>
      <c r="I18" s="87">
        <f>SUM(I19:I21)</f>
        <v>876350</v>
      </c>
      <c r="J18" s="87"/>
      <c r="K18" s="56"/>
      <c r="L18" s="56">
        <f>SUM(L19:L21)</f>
        <v>877400</v>
      </c>
      <c r="N18" s="56">
        <f t="shared" ref="N18:N28" si="0">F18-K18</f>
        <v>0</v>
      </c>
      <c r="O18" s="56">
        <f t="shared" ref="O18:O28" si="1">I18-L18</f>
        <v>-1050</v>
      </c>
    </row>
    <row r="19" spans="1:18" s="11" customFormat="1" ht="19.5" customHeight="1" x14ac:dyDescent="0.25">
      <c r="A19" s="72"/>
      <c r="B19" s="134" t="s">
        <v>68</v>
      </c>
      <c r="C19" s="179"/>
      <c r="D19" s="135"/>
      <c r="E19" s="5" t="s">
        <v>72</v>
      </c>
      <c r="F19" s="97">
        <v>18</v>
      </c>
      <c r="G19" s="88">
        <f t="shared" ref="G19:G23" si="2">H19/F19</f>
        <v>22750</v>
      </c>
      <c r="H19" s="87">
        <f t="shared" ref="H19:H28" si="3">I19+J19</f>
        <v>409500</v>
      </c>
      <c r="I19" s="97">
        <v>409500</v>
      </c>
      <c r="J19" s="87"/>
      <c r="K19" s="57">
        <v>18</v>
      </c>
      <c r="L19" s="57">
        <v>409500</v>
      </c>
      <c r="N19" s="56">
        <f t="shared" si="0"/>
        <v>0</v>
      </c>
      <c r="O19" s="57">
        <f t="shared" si="1"/>
        <v>0</v>
      </c>
    </row>
    <row r="20" spans="1:18" s="11" customFormat="1" ht="28.5" customHeight="1" x14ac:dyDescent="0.25">
      <c r="A20" s="72"/>
      <c r="B20" s="134" t="s">
        <v>69</v>
      </c>
      <c r="C20" s="179"/>
      <c r="D20" s="135"/>
      <c r="E20" s="5" t="s">
        <v>72</v>
      </c>
      <c r="F20" s="72">
        <v>20</v>
      </c>
      <c r="G20" s="73">
        <f t="shared" si="2"/>
        <v>15825</v>
      </c>
      <c r="H20" s="87">
        <f t="shared" si="3"/>
        <v>316500</v>
      </c>
      <c r="I20" s="72">
        <f>271500+45000</f>
        <v>316500</v>
      </c>
      <c r="J20" s="87"/>
      <c r="K20" s="57">
        <v>20</v>
      </c>
      <c r="L20" s="57">
        <f>271500+45000</f>
        <v>316500</v>
      </c>
      <c r="N20" s="56">
        <f t="shared" si="0"/>
        <v>0</v>
      </c>
      <c r="O20" s="57">
        <f t="shared" si="1"/>
        <v>0</v>
      </c>
      <c r="R20" s="11">
        <f>6705*12</f>
        <v>80460</v>
      </c>
    </row>
    <row r="21" spans="1:18" s="11" customFormat="1" ht="30" customHeight="1" x14ac:dyDescent="0.25">
      <c r="A21" s="72"/>
      <c r="B21" s="192" t="s">
        <v>70</v>
      </c>
      <c r="C21" s="193"/>
      <c r="D21" s="194"/>
      <c r="E21" s="5"/>
      <c r="F21" s="72"/>
      <c r="G21" s="73"/>
      <c r="H21" s="87">
        <f t="shared" si="3"/>
        <v>150350</v>
      </c>
      <c r="I21" s="88">
        <f>151400-1050</f>
        <v>150350</v>
      </c>
      <c r="J21" s="87"/>
      <c r="K21" s="57"/>
      <c r="L21" s="57">
        <v>151400</v>
      </c>
      <c r="N21" s="56">
        <f t="shared" si="0"/>
        <v>0</v>
      </c>
      <c r="O21" s="57">
        <f t="shared" si="1"/>
        <v>-1050</v>
      </c>
    </row>
    <row r="22" spans="1:18" s="11" customFormat="1" ht="20.25" customHeight="1" x14ac:dyDescent="0.25">
      <c r="A22" s="71">
        <v>2</v>
      </c>
      <c r="B22" s="155" t="s">
        <v>74</v>
      </c>
      <c r="C22" s="156"/>
      <c r="D22" s="157"/>
      <c r="E22" s="18" t="s">
        <v>48</v>
      </c>
      <c r="F22" s="71">
        <v>70</v>
      </c>
      <c r="G22" s="86">
        <f t="shared" si="2"/>
        <v>71.428571428571431</v>
      </c>
      <c r="H22" s="87">
        <f t="shared" si="3"/>
        <v>5000</v>
      </c>
      <c r="I22" s="87">
        <v>5000</v>
      </c>
      <c r="J22" s="87"/>
      <c r="K22" s="56">
        <v>70</v>
      </c>
      <c r="L22" s="56">
        <v>5000</v>
      </c>
      <c r="N22" s="56">
        <f t="shared" si="0"/>
        <v>0</v>
      </c>
      <c r="O22" s="56">
        <f t="shared" si="1"/>
        <v>0</v>
      </c>
    </row>
    <row r="23" spans="1:18" s="11" customFormat="1" ht="20.25" customHeight="1" x14ac:dyDescent="0.25">
      <c r="A23" s="71">
        <v>3</v>
      </c>
      <c r="B23" s="155" t="s">
        <v>75</v>
      </c>
      <c r="C23" s="156"/>
      <c r="D23" s="157"/>
      <c r="E23" s="18" t="s">
        <v>48</v>
      </c>
      <c r="F23" s="71">
        <v>70</v>
      </c>
      <c r="G23" s="86">
        <f t="shared" si="2"/>
        <v>1142.8571428571429</v>
      </c>
      <c r="H23" s="87">
        <f t="shared" si="3"/>
        <v>80000</v>
      </c>
      <c r="I23" s="87">
        <v>80000</v>
      </c>
      <c r="J23" s="87"/>
      <c r="K23" s="56">
        <v>70</v>
      </c>
      <c r="L23" s="56">
        <v>80000</v>
      </c>
      <c r="N23" s="56">
        <f t="shared" si="0"/>
        <v>0</v>
      </c>
      <c r="O23" s="56">
        <f t="shared" si="1"/>
        <v>0</v>
      </c>
    </row>
    <row r="24" spans="1:18" s="11" customFormat="1" ht="28.5" customHeight="1" x14ac:dyDescent="0.25">
      <c r="A24" s="71">
        <v>4</v>
      </c>
      <c r="B24" s="195" t="s">
        <v>107</v>
      </c>
      <c r="C24" s="196"/>
      <c r="D24" s="197"/>
      <c r="E24" s="18"/>
      <c r="F24" s="71"/>
      <c r="G24" s="73"/>
      <c r="H24" s="87">
        <f t="shared" si="3"/>
        <v>5550</v>
      </c>
      <c r="I24" s="87">
        <f>SUM(I25:I27)</f>
        <v>5550</v>
      </c>
      <c r="J24" s="87"/>
      <c r="K24" s="56"/>
      <c r="L24" s="56">
        <f>SUM(L25:L27)</f>
        <v>7000</v>
      </c>
      <c r="N24" s="56">
        <f t="shared" si="0"/>
        <v>0</v>
      </c>
      <c r="O24" s="56">
        <f t="shared" si="1"/>
        <v>-1450</v>
      </c>
    </row>
    <row r="25" spans="1:18" s="11" customFormat="1" ht="19.5" customHeight="1" x14ac:dyDescent="0.25">
      <c r="A25" s="72"/>
      <c r="B25" s="192" t="s">
        <v>108</v>
      </c>
      <c r="C25" s="193"/>
      <c r="D25" s="194"/>
      <c r="E25" s="5" t="s">
        <v>170</v>
      </c>
      <c r="F25" s="72">
        <v>1</v>
      </c>
      <c r="G25" s="73"/>
      <c r="H25" s="87">
        <f t="shared" si="3"/>
        <v>1845</v>
      </c>
      <c r="I25" s="88">
        <f>2000-155</f>
        <v>1845</v>
      </c>
      <c r="J25" s="87"/>
      <c r="K25" s="57">
        <v>1</v>
      </c>
      <c r="L25" s="57">
        <v>2000</v>
      </c>
      <c r="N25" s="56">
        <f t="shared" si="0"/>
        <v>0</v>
      </c>
      <c r="O25" s="57">
        <f t="shared" si="1"/>
        <v>-155</v>
      </c>
    </row>
    <row r="26" spans="1:18" s="109" customFormat="1" ht="19.5" customHeight="1" x14ac:dyDescent="0.25">
      <c r="A26" s="72"/>
      <c r="B26" s="192" t="s">
        <v>230</v>
      </c>
      <c r="C26" s="193"/>
      <c r="D26" s="194"/>
      <c r="E26" s="5" t="s">
        <v>170</v>
      </c>
      <c r="F26" s="72">
        <v>2</v>
      </c>
      <c r="G26" s="73"/>
      <c r="H26" s="87">
        <f t="shared" ref="H26" si="4">I26+J26</f>
        <v>2100</v>
      </c>
      <c r="I26" s="88">
        <f>2500-400</f>
        <v>2100</v>
      </c>
      <c r="J26" s="87"/>
      <c r="K26" s="57">
        <v>2</v>
      </c>
      <c r="L26" s="57">
        <v>2500</v>
      </c>
      <c r="N26" s="56">
        <f t="shared" si="0"/>
        <v>0</v>
      </c>
      <c r="O26" s="57">
        <f t="shared" si="1"/>
        <v>-400</v>
      </c>
      <c r="P26" s="210" t="s">
        <v>202</v>
      </c>
      <c r="Q26" s="211"/>
    </row>
    <row r="27" spans="1:18" s="11" customFormat="1" ht="19.5" customHeight="1" x14ac:dyDescent="0.25">
      <c r="A27" s="72"/>
      <c r="B27" s="192" t="s">
        <v>254</v>
      </c>
      <c r="C27" s="193"/>
      <c r="D27" s="194"/>
      <c r="E27" s="5" t="s">
        <v>170</v>
      </c>
      <c r="F27" s="72">
        <v>1</v>
      </c>
      <c r="G27" s="73"/>
      <c r="H27" s="87">
        <f t="shared" si="3"/>
        <v>1605</v>
      </c>
      <c r="I27" s="88">
        <f>1050+555</f>
        <v>1605</v>
      </c>
      <c r="J27" s="87"/>
      <c r="K27" s="57">
        <v>2</v>
      </c>
      <c r="L27" s="57">
        <v>2500</v>
      </c>
      <c r="N27" s="56">
        <f t="shared" si="0"/>
        <v>-1</v>
      </c>
      <c r="O27" s="57">
        <f t="shared" si="1"/>
        <v>-895</v>
      </c>
      <c r="P27" s="210" t="s">
        <v>202</v>
      </c>
      <c r="Q27" s="211"/>
    </row>
    <row r="28" spans="1:18" ht="16.5" customHeight="1" x14ac:dyDescent="0.25">
      <c r="A28" s="171" t="s">
        <v>30</v>
      </c>
      <c r="B28" s="172"/>
      <c r="C28" s="172"/>
      <c r="D28" s="173"/>
      <c r="E28" s="171"/>
      <c r="F28" s="172"/>
      <c r="G28" s="173"/>
      <c r="H28" s="74">
        <f t="shared" si="3"/>
        <v>966900</v>
      </c>
      <c r="I28" s="74">
        <f>I18+I22+I23+I24</f>
        <v>966900</v>
      </c>
      <c r="J28" s="74">
        <f>J18+J22+J23</f>
        <v>0</v>
      </c>
      <c r="K28" s="58"/>
      <c r="L28" s="56">
        <f>L18+L22+L23+L24</f>
        <v>969400</v>
      </c>
      <c r="N28" s="56">
        <f t="shared" si="0"/>
        <v>0</v>
      </c>
      <c r="O28" s="56">
        <f t="shared" si="1"/>
        <v>-2500</v>
      </c>
    </row>
    <row r="29" spans="1:18" ht="8.1" customHeight="1" x14ac:dyDescent="0.25">
      <c r="A29" s="204"/>
      <c r="B29" s="204"/>
      <c r="C29" s="204"/>
      <c r="D29" s="204"/>
      <c r="E29" s="204"/>
      <c r="F29" s="204"/>
      <c r="G29" s="204"/>
      <c r="H29" s="204"/>
      <c r="I29" s="204"/>
      <c r="J29" s="204"/>
    </row>
    <row r="30" spans="1:18" ht="20.25" customHeight="1" x14ac:dyDescent="0.25">
      <c r="A30" s="68" t="s">
        <v>9</v>
      </c>
      <c r="B30" s="174" t="s">
        <v>31</v>
      </c>
      <c r="C30" s="174"/>
      <c r="D30" s="174"/>
      <c r="E30" s="174"/>
      <c r="F30" s="174"/>
      <c r="G30" s="174"/>
      <c r="H30" s="174"/>
      <c r="I30" s="174"/>
      <c r="J30" s="174"/>
      <c r="O30" s="122"/>
      <c r="P30" s="122"/>
    </row>
    <row r="31" spans="1:18" ht="21.75" customHeight="1" x14ac:dyDescent="0.25">
      <c r="A31" s="13"/>
      <c r="B31" s="183"/>
      <c r="C31" s="184"/>
      <c r="D31" s="184"/>
      <c r="E31" s="184"/>
      <c r="F31" s="184"/>
      <c r="G31" s="184"/>
      <c r="H31" s="184"/>
      <c r="I31" s="184"/>
      <c r="J31" s="184"/>
      <c r="O31" s="23"/>
    </row>
    <row r="32" spans="1:18" ht="30.75" customHeight="1" x14ac:dyDescent="0.25">
      <c r="A32" s="67"/>
      <c r="B32" s="129"/>
      <c r="C32" s="129"/>
      <c r="D32" s="129"/>
      <c r="E32" s="129"/>
      <c r="F32" s="129"/>
      <c r="G32" s="129"/>
      <c r="H32" s="129"/>
      <c r="I32" s="129"/>
      <c r="J32" s="129"/>
    </row>
    <row r="33" spans="8:11" x14ac:dyDescent="0.25">
      <c r="H33" s="76"/>
    </row>
    <row r="34" spans="8:11" x14ac:dyDescent="0.25">
      <c r="H34" s="76"/>
      <c r="J34" s="75">
        <v>54000</v>
      </c>
      <c r="K34" s="23" t="e">
        <f>#REF!-I20</f>
        <v>#REF!</v>
      </c>
    </row>
    <row r="35" spans="8:11" x14ac:dyDescent="0.25">
      <c r="H35" s="75">
        <v>113200</v>
      </c>
    </row>
    <row r="36" spans="8:11" x14ac:dyDescent="0.25">
      <c r="H36" s="75">
        <v>17641</v>
      </c>
    </row>
    <row r="37" spans="8:11" x14ac:dyDescent="0.25">
      <c r="H37" s="75">
        <v>40000</v>
      </c>
      <c r="I37" s="75">
        <v>40000</v>
      </c>
    </row>
    <row r="38" spans="8:11" x14ac:dyDescent="0.25">
      <c r="H38" s="75">
        <f>SUM(H35:H37)</f>
        <v>170841</v>
      </c>
    </row>
  </sheetData>
  <mergeCells count="50">
    <mergeCell ref="P26:Q26"/>
    <mergeCell ref="B22:D22"/>
    <mergeCell ref="B23:D23"/>
    <mergeCell ref="B27:D27"/>
    <mergeCell ref="B31:J31"/>
    <mergeCell ref="B26:D26"/>
    <mergeCell ref="O30:P30"/>
    <mergeCell ref="P27:Q27"/>
    <mergeCell ref="B32:J32"/>
    <mergeCell ref="A28:D28"/>
    <mergeCell ref="E28:G28"/>
    <mergeCell ref="A29:J29"/>
    <mergeCell ref="B30:J30"/>
    <mergeCell ref="A4:J4"/>
    <mergeCell ref="A5:B6"/>
    <mergeCell ref="C5:E6"/>
    <mergeCell ref="F5:F6"/>
    <mergeCell ref="A7:J7"/>
    <mergeCell ref="A1:J1"/>
    <mergeCell ref="A2:B2"/>
    <mergeCell ref="C2:E2"/>
    <mergeCell ref="F2:J2"/>
    <mergeCell ref="A3:B3"/>
    <mergeCell ref="C3:E3"/>
    <mergeCell ref="F3:J3"/>
    <mergeCell ref="A8:B8"/>
    <mergeCell ref="C8:J8"/>
    <mergeCell ref="A9:B9"/>
    <mergeCell ref="C9:J9"/>
    <mergeCell ref="A10:B10"/>
    <mergeCell ref="C10:J10"/>
    <mergeCell ref="A11:J11"/>
    <mergeCell ref="A12:A13"/>
    <mergeCell ref="B12:E13"/>
    <mergeCell ref="F12:G12"/>
    <mergeCell ref="H12:J13"/>
    <mergeCell ref="B14:E14"/>
    <mergeCell ref="H14:J14"/>
    <mergeCell ref="A15:J15"/>
    <mergeCell ref="A16:A17"/>
    <mergeCell ref="B25:D25"/>
    <mergeCell ref="B16:D17"/>
    <mergeCell ref="E16:G16"/>
    <mergeCell ref="H16:H17"/>
    <mergeCell ref="I16:J16"/>
    <mergeCell ref="B18:D18"/>
    <mergeCell ref="B24:D24"/>
    <mergeCell ref="B19:D19"/>
    <mergeCell ref="B20:D20"/>
    <mergeCell ref="B21:D21"/>
  </mergeCells>
  <pageMargins left="0.19685039370078741" right="0.19685039370078741" top="0.19685039370078741" bottom="0.19685039370078741" header="0.19685039370078741" footer="0.19685039370078741"/>
  <pageSetup paperSize="9" scale="8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34"/>
  <sheetViews>
    <sheetView view="pageBreakPreview" topLeftCell="A22" zoomScaleNormal="100" zoomScaleSheetLayoutView="100" workbookViewId="0">
      <selection activeCell="E29" sqref="E29"/>
    </sheetView>
  </sheetViews>
  <sheetFormatPr defaultColWidth="9.140625" defaultRowHeight="12.75" x14ac:dyDescent="0.25"/>
  <cols>
    <col min="1" max="1" width="7.7109375" style="1" customWidth="1"/>
    <col min="2" max="2" width="14.42578125" style="1" customWidth="1"/>
    <col min="3" max="3" width="8.7109375" style="1" customWidth="1"/>
    <col min="4" max="10" width="18.7109375" style="1" customWidth="1"/>
    <col min="11" max="11" width="8.5703125" style="1" customWidth="1"/>
    <col min="12" max="12" width="12" style="1" customWidth="1"/>
    <col min="13" max="13" width="14" style="1" customWidth="1"/>
    <col min="14" max="14" width="9.140625" style="1"/>
    <col min="15" max="16" width="11.85546875" style="1" customWidth="1"/>
    <col min="17" max="16384" width="9.140625" style="1"/>
  </cols>
  <sheetData>
    <row r="1" spans="1:11" s="20" customFormat="1" ht="30.75" customHeight="1" x14ac:dyDescent="0.25">
      <c r="A1" s="120" t="s">
        <v>20</v>
      </c>
      <c r="B1" s="120"/>
      <c r="C1" s="120"/>
      <c r="D1" s="120"/>
      <c r="E1" s="120"/>
      <c r="F1" s="120"/>
      <c r="G1" s="120"/>
      <c r="H1" s="120"/>
      <c r="I1" s="120"/>
      <c r="J1" s="120"/>
    </row>
    <row r="2" spans="1:11" ht="30.75" customHeight="1" x14ac:dyDescent="0.25">
      <c r="A2" s="123" t="s">
        <v>12</v>
      </c>
      <c r="B2" s="123"/>
      <c r="C2" s="123" t="s">
        <v>0</v>
      </c>
      <c r="D2" s="123"/>
      <c r="E2" s="123"/>
      <c r="F2" s="123" t="s">
        <v>13</v>
      </c>
      <c r="G2" s="123"/>
      <c r="H2" s="123"/>
      <c r="I2" s="123"/>
      <c r="J2" s="123"/>
    </row>
    <row r="3" spans="1:11" ht="25.5" customHeight="1" x14ac:dyDescent="0.25">
      <c r="A3" s="139" t="s">
        <v>73</v>
      </c>
      <c r="B3" s="139"/>
      <c r="C3" s="129" t="s">
        <v>76</v>
      </c>
      <c r="D3" s="129"/>
      <c r="E3" s="129"/>
      <c r="F3" s="139" t="s">
        <v>35</v>
      </c>
      <c r="G3" s="139"/>
      <c r="H3" s="139"/>
      <c r="I3" s="139"/>
      <c r="J3" s="139"/>
    </row>
    <row r="4" spans="1:11" ht="8.1" customHeight="1" x14ac:dyDescent="0.25">
      <c r="A4" s="122"/>
      <c r="B4" s="122"/>
      <c r="C4" s="122"/>
      <c r="D4" s="122"/>
      <c r="E4" s="122"/>
      <c r="F4" s="122"/>
      <c r="G4" s="122"/>
      <c r="H4" s="122"/>
      <c r="I4" s="122"/>
      <c r="J4" s="122"/>
    </row>
    <row r="5" spans="1:11" ht="39.75" customHeight="1" x14ac:dyDescent="0.25">
      <c r="A5" s="123" t="s">
        <v>15</v>
      </c>
      <c r="B5" s="123"/>
      <c r="C5" s="140" t="s">
        <v>98</v>
      </c>
      <c r="D5" s="140"/>
      <c r="E5" s="140"/>
      <c r="F5" s="123" t="s">
        <v>14</v>
      </c>
      <c r="G5" s="2" t="s">
        <v>94</v>
      </c>
      <c r="H5" s="2" t="s">
        <v>102</v>
      </c>
      <c r="I5" s="2" t="s">
        <v>127</v>
      </c>
      <c r="J5" s="2" t="s">
        <v>205</v>
      </c>
    </row>
    <row r="6" spans="1:11" ht="24.75" customHeight="1" x14ac:dyDescent="0.25">
      <c r="A6" s="124"/>
      <c r="B6" s="124"/>
      <c r="C6" s="129"/>
      <c r="D6" s="129"/>
      <c r="E6" s="129"/>
      <c r="F6" s="124"/>
      <c r="G6" s="7">
        <f>H30</f>
        <v>131800</v>
      </c>
      <c r="H6" s="7">
        <v>131800</v>
      </c>
      <c r="I6" s="7">
        <v>131800</v>
      </c>
      <c r="J6" s="7">
        <v>131800</v>
      </c>
    </row>
    <row r="7" spans="1:11" ht="8.1" customHeight="1" x14ac:dyDescent="0.25">
      <c r="A7" s="122"/>
      <c r="B7" s="122"/>
      <c r="C7" s="122"/>
      <c r="D7" s="122"/>
      <c r="E7" s="122"/>
      <c r="F7" s="122"/>
      <c r="G7" s="122"/>
      <c r="H7" s="122"/>
      <c r="I7" s="122"/>
      <c r="J7" s="122"/>
    </row>
    <row r="8" spans="1:11" ht="35.25" customHeight="1" x14ac:dyDescent="0.25">
      <c r="A8" s="141" t="s">
        <v>16</v>
      </c>
      <c r="B8" s="141"/>
      <c r="C8" s="142" t="s">
        <v>167</v>
      </c>
      <c r="D8" s="142"/>
      <c r="E8" s="142"/>
      <c r="F8" s="142"/>
      <c r="G8" s="142"/>
      <c r="H8" s="142"/>
      <c r="I8" s="142"/>
      <c r="J8" s="142"/>
    </row>
    <row r="9" spans="1:11" ht="129" customHeight="1" x14ac:dyDescent="0.25">
      <c r="A9" s="143" t="s">
        <v>17</v>
      </c>
      <c r="B9" s="144"/>
      <c r="C9" s="145" t="s">
        <v>223</v>
      </c>
      <c r="D9" s="146"/>
      <c r="E9" s="146"/>
      <c r="F9" s="146"/>
      <c r="G9" s="146"/>
      <c r="H9" s="146"/>
      <c r="I9" s="146"/>
      <c r="J9" s="147"/>
      <c r="K9" s="41"/>
    </row>
    <row r="10" spans="1:11" s="37" customFormat="1" ht="51" customHeight="1" x14ac:dyDescent="0.25">
      <c r="A10" s="38"/>
      <c r="B10" s="39"/>
      <c r="C10" s="145" t="s">
        <v>222</v>
      </c>
      <c r="D10" s="146"/>
      <c r="E10" s="146"/>
      <c r="F10" s="146"/>
      <c r="G10" s="146"/>
      <c r="H10" s="146"/>
      <c r="I10" s="146"/>
      <c r="J10" s="147"/>
      <c r="K10" s="41"/>
    </row>
    <row r="11" spans="1:11" s="90" customFormat="1" ht="74.25" customHeight="1" x14ac:dyDescent="0.25">
      <c r="A11" s="91"/>
      <c r="B11" s="92"/>
      <c r="C11" s="145" t="s">
        <v>224</v>
      </c>
      <c r="D11" s="146"/>
      <c r="E11" s="146"/>
      <c r="F11" s="146"/>
      <c r="G11" s="146"/>
      <c r="H11" s="146"/>
      <c r="I11" s="146"/>
      <c r="J11" s="147"/>
      <c r="K11" s="41"/>
    </row>
    <row r="12" spans="1:11" s="37" customFormat="1" ht="40.5" customHeight="1" x14ac:dyDescent="0.25">
      <c r="A12" s="38"/>
      <c r="B12" s="39"/>
      <c r="C12" s="145" t="s">
        <v>225</v>
      </c>
      <c r="D12" s="146"/>
      <c r="E12" s="146"/>
      <c r="F12" s="146"/>
      <c r="G12" s="146"/>
      <c r="H12" s="146"/>
      <c r="I12" s="146"/>
      <c r="J12" s="147"/>
      <c r="K12" s="41"/>
    </row>
    <row r="13" spans="1:11" ht="59.25" customHeight="1" x14ac:dyDescent="0.25">
      <c r="A13" s="148" t="s">
        <v>18</v>
      </c>
      <c r="B13" s="148"/>
      <c r="C13" s="177" t="s">
        <v>166</v>
      </c>
      <c r="D13" s="191"/>
      <c r="E13" s="191"/>
      <c r="F13" s="191"/>
      <c r="G13" s="191"/>
      <c r="H13" s="191"/>
      <c r="I13" s="191"/>
      <c r="J13" s="191"/>
    </row>
    <row r="14" spans="1:11" ht="8.1" customHeight="1" x14ac:dyDescent="0.25">
      <c r="A14" s="122"/>
      <c r="B14" s="122"/>
      <c r="C14" s="122"/>
      <c r="D14" s="122"/>
      <c r="E14" s="122"/>
      <c r="F14" s="122"/>
      <c r="G14" s="122"/>
      <c r="H14" s="122"/>
      <c r="I14" s="122"/>
      <c r="J14" s="122"/>
    </row>
    <row r="15" spans="1:11" ht="20.25" customHeight="1" x14ac:dyDescent="0.25">
      <c r="A15" s="123" t="s">
        <v>9</v>
      </c>
      <c r="B15" s="123" t="s">
        <v>19</v>
      </c>
      <c r="C15" s="123"/>
      <c r="D15" s="123"/>
      <c r="E15" s="123"/>
      <c r="F15" s="123" t="s">
        <v>11</v>
      </c>
      <c r="G15" s="123"/>
      <c r="H15" s="116" t="s">
        <v>33</v>
      </c>
      <c r="I15" s="151"/>
      <c r="J15" s="117"/>
    </row>
    <row r="16" spans="1:11" ht="32.25" customHeight="1" x14ac:dyDescent="0.25">
      <c r="A16" s="130"/>
      <c r="B16" s="130"/>
      <c r="C16" s="130"/>
      <c r="D16" s="130"/>
      <c r="E16" s="130"/>
      <c r="F16" s="33" t="s">
        <v>208</v>
      </c>
      <c r="G16" s="33" t="s">
        <v>95</v>
      </c>
      <c r="H16" s="118"/>
      <c r="I16" s="152"/>
      <c r="J16" s="119"/>
    </row>
    <row r="17" spans="1:16" ht="37.5" customHeight="1" x14ac:dyDescent="0.25">
      <c r="A17" s="4">
        <v>1</v>
      </c>
      <c r="B17" s="153" t="s">
        <v>77</v>
      </c>
      <c r="C17" s="153"/>
      <c r="D17" s="153"/>
      <c r="E17" s="153"/>
      <c r="F17" s="4">
        <v>9</v>
      </c>
      <c r="G17" s="22">
        <f>F21</f>
        <v>9</v>
      </c>
      <c r="H17" s="136" t="s">
        <v>161</v>
      </c>
      <c r="I17" s="154"/>
      <c r="J17" s="154"/>
    </row>
    <row r="18" spans="1:16" ht="8.1" customHeight="1" x14ac:dyDescent="0.25">
      <c r="A18" s="122"/>
      <c r="B18" s="122"/>
      <c r="C18" s="122"/>
      <c r="D18" s="122"/>
      <c r="E18" s="122"/>
      <c r="F18" s="122"/>
      <c r="G18" s="122"/>
      <c r="H18" s="122"/>
      <c r="I18" s="122"/>
      <c r="J18" s="122"/>
    </row>
    <row r="19" spans="1:16" ht="30" customHeight="1" x14ac:dyDescent="0.25">
      <c r="A19" s="123" t="s">
        <v>9</v>
      </c>
      <c r="B19" s="123" t="s">
        <v>21</v>
      </c>
      <c r="C19" s="123"/>
      <c r="D19" s="123"/>
      <c r="E19" s="123" t="s">
        <v>22</v>
      </c>
      <c r="F19" s="123"/>
      <c r="G19" s="123"/>
      <c r="H19" s="123" t="s">
        <v>25</v>
      </c>
      <c r="I19" s="123" t="s">
        <v>26</v>
      </c>
      <c r="J19" s="123"/>
      <c r="L19" s="58"/>
      <c r="M19" s="55" t="s">
        <v>26</v>
      </c>
      <c r="O19" s="58"/>
      <c r="P19" s="55" t="s">
        <v>26</v>
      </c>
    </row>
    <row r="20" spans="1:16" ht="32.25" customHeight="1" x14ac:dyDescent="0.25">
      <c r="A20" s="130"/>
      <c r="B20" s="130"/>
      <c r="C20" s="130"/>
      <c r="D20" s="130"/>
      <c r="E20" s="3" t="s">
        <v>23</v>
      </c>
      <c r="F20" s="3" t="s">
        <v>24</v>
      </c>
      <c r="G20" s="3" t="s">
        <v>29</v>
      </c>
      <c r="H20" s="130"/>
      <c r="I20" s="3" t="s">
        <v>27</v>
      </c>
      <c r="J20" s="3" t="s">
        <v>28</v>
      </c>
      <c r="L20" s="55" t="s">
        <v>24</v>
      </c>
      <c r="M20" s="55" t="s">
        <v>27</v>
      </c>
      <c r="O20" s="55" t="s">
        <v>24</v>
      </c>
      <c r="P20" s="55" t="s">
        <v>27</v>
      </c>
    </row>
    <row r="21" spans="1:16" s="11" customFormat="1" ht="39" customHeight="1" x14ac:dyDescent="0.25">
      <c r="A21" s="12"/>
      <c r="B21" s="155" t="s">
        <v>188</v>
      </c>
      <c r="C21" s="156"/>
      <c r="D21" s="157"/>
      <c r="E21" s="18"/>
      <c r="F21" s="12">
        <f>SUM(F22:F29)</f>
        <v>9</v>
      </c>
      <c r="G21" s="9"/>
      <c r="H21" s="12">
        <f t="shared" ref="H21:H30" si="0">I21+J21</f>
        <v>131800</v>
      </c>
      <c r="I21" s="12">
        <f>SUM(I22:I29)</f>
        <v>131800</v>
      </c>
      <c r="J21" s="12"/>
      <c r="L21" s="56">
        <f>SUM(L22:L29)</f>
        <v>8</v>
      </c>
      <c r="M21" s="56">
        <f>SUM(M22:M29)</f>
        <v>126800</v>
      </c>
      <c r="O21" s="61">
        <f>F21-L21</f>
        <v>1</v>
      </c>
      <c r="P21" s="61">
        <f>I21-M21</f>
        <v>5000</v>
      </c>
    </row>
    <row r="22" spans="1:16" s="11" customFormat="1" ht="30.75" customHeight="1" x14ac:dyDescent="0.25">
      <c r="A22" s="9"/>
      <c r="B22" s="134" t="s">
        <v>104</v>
      </c>
      <c r="C22" s="179"/>
      <c r="D22" s="135"/>
      <c r="E22" s="5" t="s">
        <v>80</v>
      </c>
      <c r="F22" s="9">
        <v>1</v>
      </c>
      <c r="G22" s="9">
        <f t="shared" ref="G22:G28" si="1">H22/F22</f>
        <v>35820</v>
      </c>
      <c r="H22" s="12">
        <f t="shared" si="0"/>
        <v>35820</v>
      </c>
      <c r="I22" s="9">
        <v>35820</v>
      </c>
      <c r="J22" s="12"/>
      <c r="L22" s="57">
        <v>1</v>
      </c>
      <c r="M22" s="57">
        <v>35820</v>
      </c>
      <c r="O22" s="61">
        <f t="shared" ref="O22:O30" si="2">F22-L22</f>
        <v>0</v>
      </c>
      <c r="P22" s="61">
        <f t="shared" ref="P22:P30" si="3">I22-M22</f>
        <v>0</v>
      </c>
    </row>
    <row r="23" spans="1:16" s="11" customFormat="1" ht="44.25" customHeight="1" x14ac:dyDescent="0.25">
      <c r="A23" s="9"/>
      <c r="B23" s="134" t="s">
        <v>78</v>
      </c>
      <c r="C23" s="179"/>
      <c r="D23" s="135"/>
      <c r="E23" s="5" t="s">
        <v>80</v>
      </c>
      <c r="F23" s="9">
        <v>2</v>
      </c>
      <c r="G23" s="9">
        <f t="shared" si="1"/>
        <v>30000</v>
      </c>
      <c r="H23" s="12">
        <f t="shared" si="0"/>
        <v>60000</v>
      </c>
      <c r="I23" s="9">
        <v>60000</v>
      </c>
      <c r="J23" s="12"/>
      <c r="L23" s="57">
        <v>2</v>
      </c>
      <c r="M23" s="57">
        <v>60000</v>
      </c>
      <c r="O23" s="61">
        <f t="shared" si="2"/>
        <v>0</v>
      </c>
      <c r="P23" s="61">
        <f t="shared" si="3"/>
        <v>0</v>
      </c>
    </row>
    <row r="24" spans="1:16" s="11" customFormat="1" ht="21" customHeight="1" x14ac:dyDescent="0.25">
      <c r="A24" s="9"/>
      <c r="B24" s="212" t="s">
        <v>126</v>
      </c>
      <c r="C24" s="213"/>
      <c r="D24" s="214"/>
      <c r="E24" s="46" t="s">
        <v>80</v>
      </c>
      <c r="F24" s="47">
        <v>1</v>
      </c>
      <c r="G24" s="9">
        <v>2985</v>
      </c>
      <c r="H24" s="48">
        <f t="shared" si="0"/>
        <v>5000</v>
      </c>
      <c r="I24" s="47">
        <v>5000</v>
      </c>
      <c r="J24" s="48"/>
      <c r="L24" s="57">
        <v>1</v>
      </c>
      <c r="M24" s="57">
        <v>5000</v>
      </c>
      <c r="O24" s="61">
        <f t="shared" si="2"/>
        <v>0</v>
      </c>
      <c r="P24" s="61">
        <f t="shared" si="3"/>
        <v>0</v>
      </c>
    </row>
    <row r="25" spans="1:16" s="11" customFormat="1" ht="33.75" customHeight="1" x14ac:dyDescent="0.25">
      <c r="A25" s="9"/>
      <c r="B25" s="134" t="s">
        <v>149</v>
      </c>
      <c r="C25" s="179"/>
      <c r="D25" s="135"/>
      <c r="E25" s="5" t="s">
        <v>80</v>
      </c>
      <c r="F25" s="9">
        <v>1</v>
      </c>
      <c r="G25" s="9">
        <f t="shared" ref="G25" si="4">H25/F25</f>
        <v>5000</v>
      </c>
      <c r="H25" s="12">
        <f t="shared" si="0"/>
        <v>5000</v>
      </c>
      <c r="I25" s="9">
        <v>5000</v>
      </c>
      <c r="J25" s="12"/>
      <c r="L25" s="57">
        <v>1</v>
      </c>
      <c r="M25" s="57">
        <v>5000</v>
      </c>
      <c r="O25" s="61">
        <f t="shared" si="2"/>
        <v>0</v>
      </c>
      <c r="P25" s="61">
        <f t="shared" si="3"/>
        <v>0</v>
      </c>
    </row>
    <row r="26" spans="1:16" s="11" customFormat="1" ht="55.5" customHeight="1" x14ac:dyDescent="0.25">
      <c r="A26" s="9"/>
      <c r="B26" s="134" t="s">
        <v>150</v>
      </c>
      <c r="C26" s="179"/>
      <c r="D26" s="135"/>
      <c r="E26" s="5" t="s">
        <v>80</v>
      </c>
      <c r="F26" s="9">
        <v>1</v>
      </c>
      <c r="G26" s="9">
        <f t="shared" ref="G26" si="5">H26/F26</f>
        <v>5000</v>
      </c>
      <c r="H26" s="12">
        <f t="shared" si="0"/>
        <v>5000</v>
      </c>
      <c r="I26" s="9">
        <v>5000</v>
      </c>
      <c r="J26" s="12"/>
      <c r="L26" s="57">
        <v>1</v>
      </c>
      <c r="M26" s="57">
        <v>5000</v>
      </c>
      <c r="O26" s="61">
        <f t="shared" ref="O26" si="6">F26-L26</f>
        <v>0</v>
      </c>
      <c r="P26" s="61">
        <f t="shared" ref="P26" si="7">I26-M26</f>
        <v>0</v>
      </c>
    </row>
    <row r="27" spans="1:16" s="11" customFormat="1" ht="41.25" customHeight="1" x14ac:dyDescent="0.25">
      <c r="A27" s="9"/>
      <c r="B27" s="134" t="s">
        <v>79</v>
      </c>
      <c r="C27" s="179"/>
      <c r="D27" s="135"/>
      <c r="E27" s="5" t="s">
        <v>80</v>
      </c>
      <c r="F27" s="9">
        <v>1</v>
      </c>
      <c r="G27" s="9">
        <f t="shared" si="1"/>
        <v>5000</v>
      </c>
      <c r="H27" s="12">
        <f t="shared" si="0"/>
        <v>5000</v>
      </c>
      <c r="I27" s="9">
        <v>5000</v>
      </c>
      <c r="J27" s="12"/>
      <c r="L27" s="57">
        <v>1</v>
      </c>
      <c r="M27" s="57">
        <v>5000</v>
      </c>
      <c r="O27" s="61">
        <f t="shared" si="2"/>
        <v>0</v>
      </c>
      <c r="P27" s="61">
        <f t="shared" si="3"/>
        <v>0</v>
      </c>
    </row>
    <row r="28" spans="1:16" s="11" customFormat="1" ht="60" customHeight="1" x14ac:dyDescent="0.25">
      <c r="A28" s="9"/>
      <c r="B28" s="134" t="s">
        <v>151</v>
      </c>
      <c r="C28" s="179"/>
      <c r="D28" s="135"/>
      <c r="E28" s="5" t="s">
        <v>105</v>
      </c>
      <c r="F28" s="9">
        <v>1</v>
      </c>
      <c r="G28" s="9">
        <f t="shared" si="1"/>
        <v>10980</v>
      </c>
      <c r="H28" s="12">
        <f t="shared" si="0"/>
        <v>10980</v>
      </c>
      <c r="I28" s="9">
        <v>10980</v>
      </c>
      <c r="J28" s="12"/>
      <c r="L28" s="57">
        <v>1</v>
      </c>
      <c r="M28" s="57">
        <v>10980</v>
      </c>
      <c r="O28" s="61">
        <f t="shared" si="2"/>
        <v>0</v>
      </c>
      <c r="P28" s="61">
        <f t="shared" si="3"/>
        <v>0</v>
      </c>
    </row>
    <row r="29" spans="1:16" s="11" customFormat="1" ht="24" customHeight="1" x14ac:dyDescent="0.25">
      <c r="A29" s="9"/>
      <c r="B29" s="134" t="s">
        <v>189</v>
      </c>
      <c r="C29" s="179"/>
      <c r="D29" s="135"/>
      <c r="E29" s="5" t="s">
        <v>80</v>
      </c>
      <c r="F29" s="9">
        <v>1</v>
      </c>
      <c r="G29" s="9">
        <f t="shared" ref="G29" si="8">H29/F29</f>
        <v>5000</v>
      </c>
      <c r="H29" s="12">
        <f t="shared" si="0"/>
        <v>5000</v>
      </c>
      <c r="I29" s="9">
        <v>5000</v>
      </c>
      <c r="J29" s="12"/>
      <c r="L29" s="57"/>
      <c r="M29" s="57"/>
      <c r="O29" s="61">
        <f t="shared" ref="O29" si="9">F29-L29</f>
        <v>1</v>
      </c>
      <c r="P29" s="61">
        <f t="shared" ref="P29" si="10">I29-M29</f>
        <v>5000</v>
      </c>
    </row>
    <row r="30" spans="1:16" ht="20.25" customHeight="1" x14ac:dyDescent="0.25">
      <c r="A30" s="168" t="s">
        <v>30</v>
      </c>
      <c r="B30" s="169"/>
      <c r="C30" s="169"/>
      <c r="D30" s="170"/>
      <c r="E30" s="171"/>
      <c r="F30" s="172"/>
      <c r="G30" s="173"/>
      <c r="H30" s="6">
        <f t="shared" si="0"/>
        <v>131800</v>
      </c>
      <c r="I30" s="6">
        <f>I21</f>
        <v>131800</v>
      </c>
      <c r="J30" s="6">
        <f>J21</f>
        <v>0</v>
      </c>
      <c r="L30" s="58"/>
      <c r="M30" s="56">
        <f>M21</f>
        <v>126800</v>
      </c>
      <c r="O30" s="61">
        <f t="shared" si="2"/>
        <v>0</v>
      </c>
      <c r="P30" s="61">
        <f t="shared" si="3"/>
        <v>5000</v>
      </c>
    </row>
    <row r="31" spans="1:16" ht="8.1" customHeight="1" x14ac:dyDescent="0.25">
      <c r="A31" s="122"/>
      <c r="B31" s="122"/>
      <c r="C31" s="122"/>
      <c r="D31" s="122"/>
      <c r="E31" s="122"/>
      <c r="F31" s="122"/>
      <c r="G31" s="122"/>
      <c r="H31" s="122"/>
      <c r="I31" s="122"/>
      <c r="J31" s="122"/>
      <c r="O31" s="61"/>
      <c r="P31" s="61"/>
    </row>
    <row r="32" spans="1:16" ht="20.25" customHeight="1" x14ac:dyDescent="0.25">
      <c r="A32" s="15" t="s">
        <v>9</v>
      </c>
      <c r="B32" s="174" t="s">
        <v>31</v>
      </c>
      <c r="C32" s="174"/>
      <c r="D32" s="174"/>
      <c r="E32" s="174"/>
      <c r="F32" s="174"/>
      <c r="G32" s="174"/>
      <c r="H32" s="174"/>
      <c r="I32" s="174"/>
      <c r="J32" s="174"/>
    </row>
    <row r="33" spans="1:10" ht="46.5" customHeight="1" x14ac:dyDescent="0.25">
      <c r="A33" s="13">
        <v>1</v>
      </c>
      <c r="B33" s="183" t="s">
        <v>235</v>
      </c>
      <c r="C33" s="184"/>
      <c r="D33" s="184"/>
      <c r="E33" s="184"/>
      <c r="F33" s="184"/>
      <c r="G33" s="184"/>
      <c r="H33" s="184"/>
      <c r="I33" s="184"/>
      <c r="J33" s="184"/>
    </row>
    <row r="34" spans="1:10" ht="30.75" customHeight="1" x14ac:dyDescent="0.25">
      <c r="A34" s="10"/>
      <c r="B34" s="138"/>
      <c r="C34" s="138"/>
      <c r="D34" s="138"/>
      <c r="E34" s="138"/>
      <c r="F34" s="138"/>
      <c r="G34" s="138"/>
      <c r="H34" s="138"/>
      <c r="I34" s="138"/>
      <c r="J34" s="138"/>
    </row>
  </sheetData>
  <mergeCells count="49">
    <mergeCell ref="B34:J34"/>
    <mergeCell ref="A31:J31"/>
    <mergeCell ref="B32:J32"/>
    <mergeCell ref="B33:J33"/>
    <mergeCell ref="B21:D21"/>
    <mergeCell ref="B22:D22"/>
    <mergeCell ref="B23:D23"/>
    <mergeCell ref="B24:D24"/>
    <mergeCell ref="B27:D27"/>
    <mergeCell ref="A30:D30"/>
    <mergeCell ref="E30:G30"/>
    <mergeCell ref="B26:D26"/>
    <mergeCell ref="B25:D25"/>
    <mergeCell ref="B29:D29"/>
    <mergeCell ref="B28:D28"/>
    <mergeCell ref="A18:J18"/>
    <mergeCell ref="A19:A20"/>
    <mergeCell ref="B19:D20"/>
    <mergeCell ref="E19:G19"/>
    <mergeCell ref="H19:H20"/>
    <mergeCell ref="I19:J19"/>
    <mergeCell ref="A4:J4"/>
    <mergeCell ref="A5:B6"/>
    <mergeCell ref="C5:E6"/>
    <mergeCell ref="F5:F6"/>
    <mergeCell ref="A7:J7"/>
    <mergeCell ref="A1:J1"/>
    <mergeCell ref="A2:B2"/>
    <mergeCell ref="C2:E2"/>
    <mergeCell ref="F2:J2"/>
    <mergeCell ref="A3:B3"/>
    <mergeCell ref="C3:E3"/>
    <mergeCell ref="F3:J3"/>
    <mergeCell ref="A8:B8"/>
    <mergeCell ref="C8:J8"/>
    <mergeCell ref="A9:B9"/>
    <mergeCell ref="C9:J9"/>
    <mergeCell ref="A13:B13"/>
    <mergeCell ref="C13:J13"/>
    <mergeCell ref="C10:J10"/>
    <mergeCell ref="C12:J12"/>
    <mergeCell ref="C11:J11"/>
    <mergeCell ref="B17:E17"/>
    <mergeCell ref="H17:J17"/>
    <mergeCell ref="A14:J14"/>
    <mergeCell ref="A15:A16"/>
    <mergeCell ref="B15:E16"/>
    <mergeCell ref="F15:G15"/>
    <mergeCell ref="H15:J16"/>
  </mergeCells>
  <pageMargins left="0.19685039370078741" right="0.19685039370078741" top="0.19685039370078741" bottom="0.19685039370078741" header="0.19685039370078741" footer="0.19685039370078741"/>
  <pageSetup paperSize="9" scale="8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23"/>
  <sheetViews>
    <sheetView view="pageBreakPreview" topLeftCell="A7" zoomScaleNormal="100" zoomScaleSheetLayoutView="100" workbookViewId="0">
      <selection activeCell="C9" sqref="C9:J9"/>
    </sheetView>
  </sheetViews>
  <sheetFormatPr defaultColWidth="9.140625" defaultRowHeight="12.75" x14ac:dyDescent="0.25"/>
  <cols>
    <col min="1" max="1" width="7.7109375" style="1" customWidth="1"/>
    <col min="2" max="2" width="14.42578125" style="1" customWidth="1"/>
    <col min="3" max="3" width="8.7109375" style="1" customWidth="1"/>
    <col min="4" max="10" width="18.7109375" style="1" customWidth="1"/>
    <col min="11" max="11" width="17.5703125" style="1" customWidth="1"/>
    <col min="12" max="16" width="18.7109375" style="1" customWidth="1"/>
    <col min="17" max="16384" width="9.140625" style="1"/>
  </cols>
  <sheetData>
    <row r="1" spans="1:10" s="20" customFormat="1" ht="30.75" customHeight="1" x14ac:dyDescent="0.25">
      <c r="A1" s="120" t="s">
        <v>20</v>
      </c>
      <c r="B1" s="120"/>
      <c r="C1" s="120"/>
      <c r="D1" s="120"/>
      <c r="E1" s="120"/>
      <c r="F1" s="120"/>
      <c r="G1" s="120"/>
      <c r="H1" s="120"/>
      <c r="I1" s="120"/>
      <c r="J1" s="120"/>
    </row>
    <row r="2" spans="1:10" ht="30.75" customHeight="1" x14ac:dyDescent="0.25">
      <c r="A2" s="123" t="s">
        <v>12</v>
      </c>
      <c r="B2" s="123"/>
      <c r="C2" s="123" t="s">
        <v>0</v>
      </c>
      <c r="D2" s="123"/>
      <c r="E2" s="123"/>
      <c r="F2" s="123" t="s">
        <v>13</v>
      </c>
      <c r="G2" s="123"/>
      <c r="H2" s="123"/>
      <c r="I2" s="123"/>
      <c r="J2" s="123"/>
    </row>
    <row r="3" spans="1:10" ht="37.5" customHeight="1" x14ac:dyDescent="0.25">
      <c r="A3" s="139" t="s">
        <v>125</v>
      </c>
      <c r="B3" s="139"/>
      <c r="C3" s="129" t="s">
        <v>82</v>
      </c>
      <c r="D3" s="129"/>
      <c r="E3" s="129"/>
      <c r="F3" s="139" t="s">
        <v>35</v>
      </c>
      <c r="G3" s="139"/>
      <c r="H3" s="139"/>
      <c r="I3" s="139"/>
      <c r="J3" s="139"/>
    </row>
    <row r="4" spans="1:10" ht="8.1" customHeight="1" x14ac:dyDescent="0.25">
      <c r="A4" s="122"/>
      <c r="B4" s="122"/>
      <c r="C4" s="122"/>
      <c r="D4" s="122"/>
      <c r="E4" s="122"/>
      <c r="F4" s="122"/>
      <c r="G4" s="122"/>
      <c r="H4" s="122"/>
      <c r="I4" s="122"/>
      <c r="J4" s="122"/>
    </row>
    <row r="5" spans="1:10" ht="39.75" customHeight="1" x14ac:dyDescent="0.25">
      <c r="A5" s="123" t="s">
        <v>15</v>
      </c>
      <c r="B5" s="123"/>
      <c r="C5" s="140" t="s">
        <v>98</v>
      </c>
      <c r="D5" s="140"/>
      <c r="E5" s="140"/>
      <c r="F5" s="123" t="s">
        <v>14</v>
      </c>
      <c r="G5" s="2" t="s">
        <v>94</v>
      </c>
      <c r="H5" s="2" t="s">
        <v>102</v>
      </c>
      <c r="I5" s="2" t="s">
        <v>127</v>
      </c>
      <c r="J5" s="2" t="s">
        <v>205</v>
      </c>
    </row>
    <row r="6" spans="1:10" ht="24.75" customHeight="1" x14ac:dyDescent="0.25">
      <c r="A6" s="124"/>
      <c r="B6" s="124"/>
      <c r="C6" s="129"/>
      <c r="D6" s="129"/>
      <c r="E6" s="129"/>
      <c r="F6" s="124"/>
      <c r="G6" s="7">
        <f>H19</f>
        <v>120000</v>
      </c>
      <c r="H6" s="44">
        <v>120000</v>
      </c>
      <c r="I6" s="44">
        <v>120000</v>
      </c>
      <c r="J6" s="44">
        <v>120000</v>
      </c>
    </row>
    <row r="7" spans="1:10" ht="8.1" customHeight="1" x14ac:dyDescent="0.25">
      <c r="A7" s="122"/>
      <c r="B7" s="122"/>
      <c r="C7" s="122"/>
      <c r="D7" s="122"/>
      <c r="E7" s="122"/>
      <c r="F7" s="122"/>
      <c r="G7" s="122"/>
      <c r="H7" s="122"/>
      <c r="I7" s="122"/>
      <c r="J7" s="122"/>
    </row>
    <row r="8" spans="1:10" ht="32.25" customHeight="1" x14ac:dyDescent="0.25">
      <c r="A8" s="141" t="s">
        <v>16</v>
      </c>
      <c r="B8" s="141"/>
      <c r="C8" s="142" t="s">
        <v>152</v>
      </c>
      <c r="D8" s="142"/>
      <c r="E8" s="142"/>
      <c r="F8" s="142"/>
      <c r="G8" s="142"/>
      <c r="H8" s="142"/>
      <c r="I8" s="142"/>
      <c r="J8" s="142"/>
    </row>
    <row r="9" spans="1:10" ht="75.75" customHeight="1" x14ac:dyDescent="0.25">
      <c r="A9" s="143" t="s">
        <v>17</v>
      </c>
      <c r="B9" s="144"/>
      <c r="C9" s="145" t="s">
        <v>162</v>
      </c>
      <c r="D9" s="146"/>
      <c r="E9" s="146"/>
      <c r="F9" s="146"/>
      <c r="G9" s="146"/>
      <c r="H9" s="146"/>
      <c r="I9" s="146"/>
      <c r="J9" s="147"/>
    </row>
    <row r="10" spans="1:10" ht="45" customHeight="1" x14ac:dyDescent="0.25">
      <c r="A10" s="148" t="s">
        <v>18</v>
      </c>
      <c r="B10" s="148"/>
      <c r="C10" s="149" t="s">
        <v>116</v>
      </c>
      <c r="D10" s="150"/>
      <c r="E10" s="150"/>
      <c r="F10" s="150"/>
      <c r="G10" s="150"/>
      <c r="H10" s="150"/>
      <c r="I10" s="150"/>
      <c r="J10" s="150"/>
    </row>
    <row r="11" spans="1:10" ht="8.1" customHeight="1" x14ac:dyDescent="0.25">
      <c r="A11" s="122"/>
      <c r="B11" s="122"/>
      <c r="C11" s="122"/>
      <c r="D11" s="122"/>
      <c r="E11" s="122"/>
      <c r="F11" s="122"/>
      <c r="G11" s="122"/>
      <c r="H11" s="122"/>
      <c r="I11" s="122"/>
      <c r="J11" s="122"/>
    </row>
    <row r="12" spans="1:10" ht="20.25" customHeight="1" x14ac:dyDescent="0.25">
      <c r="A12" s="123" t="s">
        <v>9</v>
      </c>
      <c r="B12" s="123" t="s">
        <v>19</v>
      </c>
      <c r="C12" s="123"/>
      <c r="D12" s="123"/>
      <c r="E12" s="123"/>
      <c r="F12" s="123" t="s">
        <v>11</v>
      </c>
      <c r="G12" s="123"/>
      <c r="H12" s="116" t="s">
        <v>33</v>
      </c>
      <c r="I12" s="151"/>
      <c r="J12" s="117"/>
    </row>
    <row r="13" spans="1:10" ht="32.25" customHeight="1" x14ac:dyDescent="0.25">
      <c r="A13" s="130"/>
      <c r="B13" s="130"/>
      <c r="C13" s="130"/>
      <c r="D13" s="130"/>
      <c r="E13" s="130"/>
      <c r="F13" s="33" t="s">
        <v>208</v>
      </c>
      <c r="G13" s="33" t="s">
        <v>95</v>
      </c>
      <c r="H13" s="118"/>
      <c r="I13" s="152"/>
      <c r="J13" s="119"/>
    </row>
    <row r="14" spans="1:10" ht="31.5" customHeight="1" x14ac:dyDescent="0.25">
      <c r="A14" s="4">
        <v>1</v>
      </c>
      <c r="B14" s="153" t="s">
        <v>164</v>
      </c>
      <c r="C14" s="153"/>
      <c r="D14" s="153"/>
      <c r="E14" s="153"/>
      <c r="F14" s="4">
        <v>100</v>
      </c>
      <c r="G14" s="4">
        <f>F18</f>
        <v>60</v>
      </c>
      <c r="H14" s="136" t="s">
        <v>118</v>
      </c>
      <c r="I14" s="154"/>
      <c r="J14" s="154"/>
    </row>
    <row r="15" spans="1:10" ht="8.1" customHeight="1" x14ac:dyDescent="0.25">
      <c r="A15" s="122"/>
      <c r="B15" s="122"/>
      <c r="C15" s="122"/>
      <c r="D15" s="122"/>
      <c r="E15" s="122"/>
      <c r="F15" s="122"/>
      <c r="G15" s="122"/>
      <c r="H15" s="122"/>
      <c r="I15" s="122"/>
      <c r="J15" s="122"/>
    </row>
    <row r="16" spans="1:10" ht="30" customHeight="1" x14ac:dyDescent="0.25">
      <c r="A16" s="123" t="s">
        <v>9</v>
      </c>
      <c r="B16" s="123" t="s">
        <v>21</v>
      </c>
      <c r="C16" s="123"/>
      <c r="D16" s="123"/>
      <c r="E16" s="123" t="s">
        <v>22</v>
      </c>
      <c r="F16" s="123"/>
      <c r="G16" s="123"/>
      <c r="H16" s="123" t="s">
        <v>25</v>
      </c>
      <c r="I16" s="123" t="s">
        <v>26</v>
      </c>
      <c r="J16" s="123"/>
    </row>
    <row r="17" spans="1:11" ht="32.25" customHeight="1" x14ac:dyDescent="0.25">
      <c r="A17" s="130"/>
      <c r="B17" s="130"/>
      <c r="C17" s="130"/>
      <c r="D17" s="130"/>
      <c r="E17" s="3" t="s">
        <v>23</v>
      </c>
      <c r="F17" s="3" t="s">
        <v>24</v>
      </c>
      <c r="G17" s="3" t="s">
        <v>29</v>
      </c>
      <c r="H17" s="130"/>
      <c r="I17" s="3" t="s">
        <v>27</v>
      </c>
      <c r="J17" s="3" t="s">
        <v>28</v>
      </c>
    </row>
    <row r="18" spans="1:11" s="11" customFormat="1" ht="30.75" customHeight="1" x14ac:dyDescent="0.25">
      <c r="A18" s="9">
        <v>1</v>
      </c>
      <c r="B18" s="158" t="s">
        <v>163</v>
      </c>
      <c r="C18" s="159"/>
      <c r="D18" s="160"/>
      <c r="E18" s="5" t="s">
        <v>48</v>
      </c>
      <c r="F18" s="9">
        <v>60</v>
      </c>
      <c r="G18" s="14">
        <f>H18/F18</f>
        <v>2000</v>
      </c>
      <c r="H18" s="9">
        <f>I18+J18</f>
        <v>120000</v>
      </c>
      <c r="I18" s="9">
        <v>120000</v>
      </c>
      <c r="J18" s="12"/>
    </row>
    <row r="19" spans="1:11" ht="21" customHeight="1" x14ac:dyDescent="0.25">
      <c r="A19" s="168" t="s">
        <v>30</v>
      </c>
      <c r="B19" s="169"/>
      <c r="C19" s="169"/>
      <c r="D19" s="170"/>
      <c r="E19" s="171"/>
      <c r="F19" s="172"/>
      <c r="G19" s="173"/>
      <c r="H19" s="6">
        <f>SUM(H18:H18)</f>
        <v>120000</v>
      </c>
      <c r="I19" s="6">
        <f>SUM(I18:I18)</f>
        <v>120000</v>
      </c>
      <c r="J19" s="6">
        <f>SUM(J18:J18)</f>
        <v>0</v>
      </c>
    </row>
    <row r="20" spans="1:11" ht="8.1" customHeight="1" x14ac:dyDescent="0.25">
      <c r="A20" s="122"/>
      <c r="B20" s="122"/>
      <c r="C20" s="122"/>
      <c r="D20" s="122"/>
      <c r="E20" s="122"/>
      <c r="F20" s="122"/>
      <c r="G20" s="122"/>
      <c r="H20" s="122"/>
      <c r="I20" s="122"/>
      <c r="J20" s="122"/>
    </row>
    <row r="21" spans="1:11" ht="20.25" customHeight="1" x14ac:dyDescent="0.25">
      <c r="A21" s="15" t="s">
        <v>9</v>
      </c>
      <c r="B21" s="174" t="s">
        <v>31</v>
      </c>
      <c r="C21" s="174"/>
      <c r="D21" s="174"/>
      <c r="E21" s="174"/>
      <c r="F21" s="174"/>
      <c r="G21" s="174"/>
      <c r="H21" s="174"/>
      <c r="I21" s="174"/>
      <c r="J21" s="174"/>
    </row>
    <row r="22" spans="1:11" ht="124.5" customHeight="1" x14ac:dyDescent="0.25">
      <c r="A22" s="13">
        <v>1</v>
      </c>
      <c r="B22" s="167" t="s">
        <v>226</v>
      </c>
      <c r="C22" s="153"/>
      <c r="D22" s="153"/>
      <c r="E22" s="153"/>
      <c r="F22" s="153"/>
      <c r="G22" s="153"/>
      <c r="H22" s="153"/>
      <c r="I22" s="153"/>
      <c r="J22" s="153"/>
      <c r="K22" s="24"/>
    </row>
    <row r="23" spans="1:11" ht="30.75" customHeight="1" x14ac:dyDescent="0.25">
      <c r="A23" s="10"/>
      <c r="B23" s="138"/>
      <c r="C23" s="138"/>
      <c r="D23" s="138"/>
      <c r="E23" s="138"/>
      <c r="F23" s="138"/>
      <c r="G23" s="138"/>
      <c r="H23" s="138"/>
      <c r="I23" s="138"/>
      <c r="J23" s="138"/>
    </row>
  </sheetData>
  <mergeCells count="38">
    <mergeCell ref="B22:J22"/>
    <mergeCell ref="B23:J23"/>
    <mergeCell ref="B18:D18"/>
    <mergeCell ref="A19:D19"/>
    <mergeCell ref="E19:G19"/>
    <mergeCell ref="A20:J20"/>
    <mergeCell ref="B21:J21"/>
    <mergeCell ref="A15:J15"/>
    <mergeCell ref="A16:A17"/>
    <mergeCell ref="B16:D17"/>
    <mergeCell ref="E16:G16"/>
    <mergeCell ref="H16:H17"/>
    <mergeCell ref="I16:J16"/>
    <mergeCell ref="A12:A13"/>
    <mergeCell ref="B12:E13"/>
    <mergeCell ref="F12:G12"/>
    <mergeCell ref="H12:J13"/>
    <mergeCell ref="B14:E14"/>
    <mergeCell ref="H14:J14"/>
    <mergeCell ref="A9:B9"/>
    <mergeCell ref="C9:J9"/>
    <mergeCell ref="A10:B10"/>
    <mergeCell ref="C10:J10"/>
    <mergeCell ref="A11:J11"/>
    <mergeCell ref="A8:B8"/>
    <mergeCell ref="C8:J8"/>
    <mergeCell ref="A1:J1"/>
    <mergeCell ref="A2:B2"/>
    <mergeCell ref="C2:E2"/>
    <mergeCell ref="F2:J2"/>
    <mergeCell ref="A3:B3"/>
    <mergeCell ref="C3:E3"/>
    <mergeCell ref="F3:J3"/>
    <mergeCell ref="A4:J4"/>
    <mergeCell ref="A5:B6"/>
    <mergeCell ref="C5:E6"/>
    <mergeCell ref="F5:F6"/>
    <mergeCell ref="A7:J7"/>
  </mergeCells>
  <pageMargins left="0.19685039370078741" right="0.19685039370078741" top="0.19685039370078741" bottom="0.19685039370078741" header="0.19685039370078741" footer="0.19685039370078741"/>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06 02</vt:lpstr>
      <vt:lpstr>06 02 01</vt:lpstr>
      <vt:lpstr>06 02 02</vt:lpstr>
      <vt:lpstr>06 02 03</vt:lpstr>
      <vt:lpstr>06 02 04</vt:lpstr>
      <vt:lpstr>06 02 05</vt:lpstr>
      <vt:lpstr>06 02 06</vt:lpstr>
      <vt:lpstr>06 02 07</vt:lpstr>
      <vt:lpstr>06 02 09</vt:lpstr>
      <vt:lpstr>06 02 10</vt:lpstr>
      <vt:lpstr>06 02 11</vt:lpstr>
      <vt:lpstr>'06 02'!Print_Area</vt:lpstr>
      <vt:lpstr>'06 02 01'!Print_Area</vt:lpstr>
      <vt:lpstr>'06 02 02'!Print_Area</vt:lpstr>
      <vt:lpstr>'06 02 03'!Print_Area</vt:lpstr>
      <vt:lpstr>'06 02 04'!Print_Area</vt:lpstr>
      <vt:lpstr>'06 02 05'!Print_Area</vt:lpstr>
      <vt:lpstr>'06 02 06'!Print_Area</vt:lpstr>
      <vt:lpstr>'06 02 07'!Print_Area</vt:lpstr>
      <vt:lpstr>'06 02 09'!Print_Area</vt:lpstr>
      <vt:lpstr>'06 02 10'!Print_Area</vt:lpstr>
      <vt:lpstr>'06 02 11'!Print_Area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2025-04-22T11:41:01Z</dcterms:modified>
</cp:coreProperties>
</file>